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workbookProtection workbookAlgorithmName="SHA-512" workbookHashValue="9Jz3h3kpUSxU6KYOxE+sNGPbG0hAdd8XuiKhsle8BgoR/y9ynO4wQKhztSzMdlbhtS8A6FJ6UdvfvRVBCf+wzw==" workbookSpinCount="100000" workbookSaltValue="IyGWj1MGwbjO1XP1Oi388g==" lockStructure="1"/>
  <bookViews>
    <workbookView xWindow="360" yWindow="435" windowWidth="11340" windowHeight="6375" activeTab="0"/>
  </bookViews>
  <sheets>
    <sheet name="Name 1" sheetId="1" r:id="rId1"/>
    <sheet name="Name 2" sheetId="2" r:id="rId2"/>
    <sheet name="Name 3" sheetId="3" r:id="rId3"/>
    <sheet name="Name 4" sheetId="6" r:id="rId4"/>
    <sheet name="Name 5" sheetId="7" r:id="rId5"/>
  </sheets>
  <definedNames>
    <definedName name="AprSun1" localSheetId="1">DATEVALUE("4/1/"&amp;'Name 2'!$A$1)-WEEKDAY(DATEVALUE("4/1/"&amp;'Name 2'!$A$1))+1</definedName>
    <definedName name="AprSun1" localSheetId="2">DATEVALUE("4/1/"&amp;'Name 3'!$A$1)-WEEKDAY(DATEVALUE("4/1/"&amp;'Name 3'!$A$1))+1</definedName>
    <definedName name="AprSun1" localSheetId="3">DATEVALUE("4/1/"&amp;'Name 4'!$A$1)-WEEKDAY(DATEVALUE("4/1/"&amp;'Name 4'!$A$1))+1</definedName>
    <definedName name="AprSun1" localSheetId="4">DATEVALUE("4/1/"&amp;'Name 5'!$A$1)-WEEKDAY(DATEVALUE("4/1/"&amp;'Name 5'!$A$1))+1</definedName>
    <definedName name="AprSun1">DATEVALUE("4/1/"&amp;'Name 1'!$A$1)-WEEKDAY(DATEVALUE("4/1/"&amp;'Name 1'!$A$1))+1</definedName>
    <definedName name="AugSun1" localSheetId="1">DATEVALUE("8/1/"&amp;'Name 2'!$A$1)-WEEKDAY(DATEVALUE("8/1/"&amp;'Name 2'!$A$1))+1</definedName>
    <definedName name="AugSun1" localSheetId="2">DATEVALUE("8/1/"&amp;'Name 3'!$A$1)-WEEKDAY(DATEVALUE("8/1/"&amp;'Name 3'!$A$1))+1</definedName>
    <definedName name="AugSun1" localSheetId="3">DATEVALUE("8/1/"&amp;'Name 4'!$A$1)-WEEKDAY(DATEVALUE("8/1/"&amp;'Name 4'!$A$1))+1</definedName>
    <definedName name="AugSun1" localSheetId="4">DATEVALUE("8/1/"&amp;'Name 5'!$A$1)-WEEKDAY(DATEVALUE("8/1/"&amp;'Name 5'!$A$1))+1</definedName>
    <definedName name="AugSun1">DATEVALUE("8/1/"&amp;'Name 1'!$A$1)-WEEKDAY(DATEVALUE("8/1/"&amp;'Name 1'!$A$1))+1</definedName>
    <definedName name="DecSun1" localSheetId="1">DATEVALUE("12/1/"&amp;'Name 2'!$A$1)-WEEKDAY(DATEVALUE("12/1/"&amp;'Name 2'!$A$1))+1</definedName>
    <definedName name="DecSun1" localSheetId="2">DATEVALUE("12/1/"&amp;'Name 3'!$A$1)-WEEKDAY(DATEVALUE("12/1/"&amp;'Name 3'!$A$1))+1</definedName>
    <definedName name="DecSun1" localSheetId="3">DATEVALUE("12/1/"&amp;'Name 4'!$A$1)-WEEKDAY(DATEVALUE("12/1/"&amp;'Name 4'!$A$1))+1</definedName>
    <definedName name="DecSun1" localSheetId="4">DATEVALUE("12/1/"&amp;'Name 5'!$A$1)-WEEKDAY(DATEVALUE("12/1/"&amp;'Name 5'!$A$1))+1</definedName>
    <definedName name="DecSun1">DATEVALUE("12/1/"&amp;'Name 1'!$A$1)-WEEKDAY(DATEVALUE("12/1/"&amp;'Name 1'!$A$1))+1</definedName>
    <definedName name="FebSun1" localSheetId="1">DATEVALUE("2/1/"&amp;'Name 2'!$A$1)-WEEKDAY(DATEVALUE("2/1/"&amp;'Name 2'!$A$1))+1</definedName>
    <definedName name="FebSun1" localSheetId="2">DATEVALUE("2/1/"&amp;'Name 3'!$A$1)-WEEKDAY(DATEVALUE("2/1/"&amp;'Name 3'!$A$1))+1</definedName>
    <definedName name="FebSun1" localSheetId="3">DATEVALUE("2/1/"&amp;'Name 4'!$A$1)-WEEKDAY(DATEVALUE("2/1/"&amp;'Name 4'!$A$1))+1</definedName>
    <definedName name="FebSun1" localSheetId="4">DATEVALUE("2/1/"&amp;'Name 5'!$A$1)-WEEKDAY(DATEVALUE("2/1/"&amp;'Name 5'!$A$1))+1</definedName>
    <definedName name="FebSun1">DATEVALUE("2/1/"&amp;'Name 1'!$A$1)-WEEKDAY(DATEVALUE("2/1/"&amp;'Name 1'!$A$1))+1</definedName>
    <definedName name="JanSun1" localSheetId="1">DATEVALUE("1/1/"&amp;'Name 2'!$A$1)-WEEKDAY(DATEVALUE("1/1/"&amp;'Name 2'!$A$1))+1</definedName>
    <definedName name="JanSun1" localSheetId="2">DATEVALUE("1/1/"&amp;'Name 3'!$A$1)-WEEKDAY(DATEVALUE("1/1/"&amp;'Name 3'!$A$1))+1</definedName>
    <definedName name="JanSun1" localSheetId="3">DATEVALUE("1/1/"&amp;'Name 4'!$A$1)-WEEKDAY(DATEVALUE("1/1/"&amp;'Name 4'!$A$1))+1</definedName>
    <definedName name="JanSun1" localSheetId="4">DATEVALUE("1/1/"&amp;'Name 5'!$A$1)-WEEKDAY(DATEVALUE("1/1/"&amp;'Name 5'!$A$1))+1</definedName>
    <definedName name="JanSun1">DATEVALUE("1/1/"&amp;'Name 1'!$A$1)-WEEKDAY(DATEVALUE("1/1/"&amp;'Name 1'!$A$1))+1</definedName>
    <definedName name="JulSun1" localSheetId="1">DATEVALUE("7/1/"&amp;'Name 2'!$A$1)-WEEKDAY(DATEVALUE("7/1/"&amp;'Name 2'!$A$1))+1</definedName>
    <definedName name="JulSun1" localSheetId="2">DATEVALUE("7/1/"&amp;'Name 3'!$A$1)-WEEKDAY(DATEVALUE("7/1/"&amp;'Name 3'!$A$1))+1</definedName>
    <definedName name="JulSun1" localSheetId="3">DATEVALUE("7/1/"&amp;'Name 4'!$A$1)-WEEKDAY(DATEVALUE("7/1/"&amp;'Name 4'!$A$1))+1</definedName>
    <definedName name="JulSun1" localSheetId="4">DATEVALUE("7/1/"&amp;'Name 5'!$A$1)-WEEKDAY(DATEVALUE("7/1/"&amp;'Name 5'!$A$1))+1</definedName>
    <definedName name="JulSun1">DATEVALUE("7/1/"&amp;'Name 1'!$A$1)-WEEKDAY(DATEVALUE("7/1/"&amp;'Name 1'!$A$1))+1</definedName>
    <definedName name="JunSun1" localSheetId="1">DATEVALUE("6/1/"&amp;'Name 2'!$A$1)-WEEKDAY(DATEVALUE("6/1/"&amp;'Name 2'!$A$1))+1</definedName>
    <definedName name="JunSun1" localSheetId="2">DATEVALUE("6/1/"&amp;'Name 3'!$A$1)-WEEKDAY(DATEVALUE("6/1/"&amp;'Name 3'!$A$1))+1</definedName>
    <definedName name="JunSun1" localSheetId="3">DATEVALUE("6/1/"&amp;'Name 4'!$A$1)-WEEKDAY(DATEVALUE("6/1/"&amp;'Name 4'!$A$1))+1</definedName>
    <definedName name="JunSun1" localSheetId="4">DATEVALUE("6/1/"&amp;'Name 5'!$A$1)-WEEKDAY(DATEVALUE("6/1/"&amp;'Name 5'!$A$1))+1</definedName>
    <definedName name="JunSun1">DATEVALUE("6/1/"&amp;'Name 1'!$A$1)-WEEKDAY(DATEVALUE("6/1/"&amp;'Name 1'!$A$1))+1</definedName>
    <definedName name="MarSun1" localSheetId="1">DATEVALUE("3/1/"&amp;'Name 2'!$A$1)-WEEKDAY(DATEVALUE("3/1/"&amp;'Name 2'!$A$1))+1</definedName>
    <definedName name="MarSun1" localSheetId="2">DATEVALUE("3/1/"&amp;'Name 3'!$A$1)-WEEKDAY(DATEVALUE("3/1/"&amp;'Name 3'!$A$1))+1</definedName>
    <definedName name="MarSun1" localSheetId="3">DATEVALUE("3/1/"&amp;'Name 4'!$A$1)-WEEKDAY(DATEVALUE("3/1/"&amp;'Name 4'!$A$1))+1</definedName>
    <definedName name="MarSun1" localSheetId="4">DATEVALUE("3/1/"&amp;'Name 5'!$A$1)-WEEKDAY(DATEVALUE("3/1/"&amp;'Name 5'!$A$1))+1</definedName>
    <definedName name="MarSun1">DATEVALUE("3/1/"&amp;'Name 1'!$A$1)-WEEKDAY(DATEVALUE("3/1/"&amp;'Name 1'!$A$1))+1</definedName>
    <definedName name="MaySun1" localSheetId="1">DATEVALUE("5/1/"&amp;'Name 2'!$A$1)-WEEKDAY(DATEVALUE("5/1/"&amp;'Name 2'!$A$1))+1</definedName>
    <definedName name="MaySun1" localSheetId="2">DATEVALUE("5/1/"&amp;'Name 3'!$A$1)-WEEKDAY(DATEVALUE("5/1/"&amp;'Name 3'!$A$1))+1</definedName>
    <definedName name="MaySun1" localSheetId="3">DATEVALUE("5/1/"&amp;'Name 4'!$A$1)-WEEKDAY(DATEVALUE("5/1/"&amp;'Name 4'!$A$1))+1</definedName>
    <definedName name="MaySun1" localSheetId="4">DATEVALUE("5/1/"&amp;'Name 5'!$A$1)-WEEKDAY(DATEVALUE("5/1/"&amp;'Name 5'!$A$1))+1</definedName>
    <definedName name="MaySun1">DATEVALUE("5/1/"&amp;'Name 1'!$A$1)-WEEKDAY(DATEVALUE("5/1/"&amp;'Name 1'!$A$1))+1</definedName>
    <definedName name="NovSun1" localSheetId="1">DATEVALUE("11/1/"&amp;'Name 2'!$A$1)-WEEKDAY(DATEVALUE("11/1/"&amp;'Name 2'!$A$1))+1</definedName>
    <definedName name="NovSun1" localSheetId="2">DATEVALUE("11/1/"&amp;'Name 3'!$A$1)-WEEKDAY(DATEVALUE("11/1/"&amp;'Name 3'!$A$1))+1</definedName>
    <definedName name="NovSun1" localSheetId="3">DATEVALUE("11/1/"&amp;'Name 4'!$A$1)-WEEKDAY(DATEVALUE("11/1/"&amp;'Name 4'!$A$1))+1</definedName>
    <definedName name="NovSun1" localSheetId="4">DATEVALUE("11/1/"&amp;'Name 5'!$A$1)-WEEKDAY(DATEVALUE("11/1/"&amp;'Name 5'!$A$1))+1</definedName>
    <definedName name="NovSun1">DATEVALUE("11/1/"&amp;'Name 1'!$A$1)-WEEKDAY(DATEVALUE("11/1/"&amp;'Name 1'!$A$1))+1</definedName>
    <definedName name="OctSun1" localSheetId="1">DATEVALUE("10/1/"&amp;'Name 2'!$A$1)-WEEKDAY(DATEVALUE("10/1/"&amp;'Name 2'!$A$1))+1</definedName>
    <definedName name="OctSun1" localSheetId="2">DATEVALUE("10/1/"&amp;'Name 3'!$A$1)-WEEKDAY(DATEVALUE("10/1/"&amp;'Name 3'!$A$1))+1</definedName>
    <definedName name="OctSun1" localSheetId="3">DATEVALUE("10/1/"&amp;'Name 4'!$A$1)-WEEKDAY(DATEVALUE("10/1/"&amp;'Name 4'!$A$1))+1</definedName>
    <definedName name="OctSun1" localSheetId="4">DATEVALUE("10/1/"&amp;'Name 5'!$A$1)-WEEKDAY(DATEVALUE("10/1/"&amp;'Name 5'!$A$1))+1</definedName>
    <definedName name="OctSun1">DATEVALUE("10/1/"&amp;'Name 1'!$A$1)-WEEKDAY(DATEVALUE("10/1/"&amp;'Name 1'!$A$1))+1</definedName>
    <definedName name="_xlnm.Print_Area" localSheetId="0">'Name 1'!$A$1:$AX$44</definedName>
    <definedName name="_xlnm.Print_Area" localSheetId="1">'Name 2'!$A$1:$AX$44</definedName>
    <definedName name="_xlnm.Print_Area" localSheetId="2">'Name 3'!$A$1:$AX$44</definedName>
    <definedName name="_xlnm.Print_Area" localSheetId="3">'Name 4'!$A$1:$AX$44</definedName>
    <definedName name="_xlnm.Print_Area" localSheetId="4">'Name 5'!$A$1:$AX$44</definedName>
    <definedName name="SepSun1" localSheetId="1">DATEVALUE("9/1/"&amp;'Name 2'!$A$1)-WEEKDAY(DATEVALUE("9/1/"&amp;'Name 2'!$A$1))+1</definedName>
    <definedName name="SepSun1" localSheetId="2">DATEVALUE("9/1/"&amp;'Name 3'!$A$1)-WEEKDAY(DATEVALUE("9/1/"&amp;'Name 3'!$A$1))+1</definedName>
    <definedName name="SepSun1" localSheetId="3">DATEVALUE("9/1/"&amp;'Name 4'!$A$1)-WEEKDAY(DATEVALUE("9/1/"&amp;'Name 4'!$A$1))+1</definedName>
    <definedName name="SepSun1" localSheetId="4">DATEVALUE("9/1/"&amp;'Name 5'!$A$1)-WEEKDAY(DATEVALUE("9/1/"&amp;'Name 5'!$A$1))+1</definedName>
    <definedName name="SepSun1">DATEVALUE("9/1/"&amp;'Name 1'!$A$1)-WEEKDAY(DATEVALUE("9/1/"&amp;'Name 1'!$A$1))+1</definedName>
  </definedNames>
  <calcPr calcId="152511"/>
</workbook>
</file>

<file path=xl/sharedStrings.xml><?xml version="1.0" encoding="utf-8"?>
<sst xmlns="http://schemas.openxmlformats.org/spreadsheetml/2006/main" count="1050" uniqueCount="52">
  <si>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</si>
  <si>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</si>
  <si>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</si>
  <si>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</si>
  <si>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</si>
  <si>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</si>
  <si>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</si>
  <si>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</si>
  <si>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</si>
  <si>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</si>
  <si>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</si>
  <si>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</si>
  <si>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</si>
  <si>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</si>
  <si>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</si>
  <si>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</si>
  <si>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</si>
  <si>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Missed Punch</t>
  </si>
  <si>
    <t>Tardy</t>
  </si>
  <si>
    <t>Absent</t>
  </si>
  <si>
    <t>MP</t>
  </si>
  <si>
    <t>TL</t>
  </si>
  <si>
    <t>A</t>
  </si>
  <si>
    <t>Total</t>
  </si>
  <si>
    <t>Occurrences</t>
  </si>
  <si>
    <t>Name:</t>
  </si>
  <si>
    <t>FMLA</t>
  </si>
  <si>
    <t>Verbal</t>
  </si>
  <si>
    <t>Written</t>
  </si>
  <si>
    <t xml:space="preserve">Final Written </t>
  </si>
  <si>
    <t>Termination</t>
  </si>
  <si>
    <t>FM</t>
  </si>
  <si>
    <t>Total Days</t>
  </si>
  <si>
    <t>Abbreviation</t>
  </si>
  <si>
    <t>Category</t>
  </si>
  <si>
    <t>AC</t>
  </si>
  <si>
    <t>Carried Forward</t>
  </si>
  <si>
    <t>Forward</t>
  </si>
  <si>
    <t>Year to Date</t>
  </si>
  <si>
    <t>NC</t>
  </si>
  <si>
    <t>No Call No Show</t>
  </si>
  <si>
    <t>Employee ID:</t>
  </si>
  <si>
    <t>N/A</t>
  </si>
  <si>
    <t>Days Absent</t>
  </si>
  <si>
    <t>Carried forward</t>
  </si>
  <si>
    <t>last 12 months</t>
  </si>
  <si>
    <t>Punch</t>
  </si>
  <si>
    <t>Missed</t>
  </si>
  <si>
    <t>(Consecutive)</t>
  </si>
  <si>
    <t>No Call</t>
  </si>
  <si>
    <t>No Show</t>
  </si>
  <si>
    <t>2014 Absences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</si>
</sst>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dd"/>
    <numFmt numFmtId="166" formatCode="d"/>
    <numFmt numFmtId="167" formatCode="0.0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ck">
        <color rgb="FF0033CC"/>
      </right>
      <top/>
      <bottom/>
    </border>
    <border>
      <left/>
      <right style="thick">
        <color rgb="FF0033CC"/>
      </right>
      <top style="thick">
        <color rgb="FF0033CC"/>
      </top>
      <bottom/>
    </border>
    <border>
      <left/>
      <right style="thick">
        <color rgb="FF0033CC"/>
      </right>
      <top/>
      <bottom style="thick">
        <color rgb="FF0033CC"/>
      </bottom>
    </border>
    <border>
      <left style="thick">
        <color rgb="FF0033CC"/>
      </left>
      <right/>
      <top style="thick">
        <color rgb="FF0033CC"/>
      </top>
      <bottom/>
    </border>
    <border>
      <left style="thick">
        <color rgb="FF0033CC"/>
      </left>
      <right/>
      <top/>
      <bottom/>
    </border>
    <border>
      <left style="thick">
        <color rgb="FF0033CC"/>
      </left>
      <right/>
      <top/>
      <bottom style="thick">
        <color rgb="FF0033CC"/>
      </bottom>
    </border>
    <border>
      <left/>
      <right/>
      <top style="thick">
        <color rgb="FF0033CC"/>
      </top>
      <bottom/>
    </border>
    <border>
      <left/>
      <right/>
      <top style="thick">
        <color rgb="FF0033CC"/>
      </top>
      <bottom style="thin"/>
    </border>
    <border>
      <left style="thin"/>
      <right style="thin"/>
      <top/>
      <bottom/>
    </border>
    <border>
      <left/>
      <right/>
      <top style="thin"/>
      <bottom style="thick">
        <color rgb="FF0033CC"/>
      </bottom>
    </border>
    <border>
      <left/>
      <right/>
      <top/>
      <bottom style="thick">
        <color rgb="FF0033CC"/>
      </bottom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left" wrapText="1"/>
      <protection/>
    </xf>
    <xf numFmtId="0" fontId="5" fillId="0" borderId="1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wrapText="1"/>
      <protection/>
    </xf>
    <xf numFmtId="166" fontId="5" fillId="0" borderId="1" xfId="0" applyNumberFormat="1" applyFont="1" applyBorder="1" applyAlignment="1" applyProtection="1">
      <alignment horizontal="left" wrapText="1"/>
      <protection/>
    </xf>
    <xf numFmtId="0" fontId="5" fillId="0" borderId="3" xfId="0" applyFont="1" applyBorder="1" applyAlignment="1" applyProtection="1">
      <alignment horizontal="left" wrapText="1"/>
      <protection/>
    </xf>
    <xf numFmtId="0" fontId="9" fillId="0" borderId="4" xfId="0" applyFont="1" applyFill="1" applyBorder="1" applyAlignment="1" applyProtection="1">
      <alignment horizontal="left" vertical="center"/>
      <protection/>
    </xf>
    <xf numFmtId="167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4" xfId="0" applyFont="1" applyFill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left" wrapText="1"/>
      <protection/>
    </xf>
    <xf numFmtId="166" fontId="5" fillId="0" borderId="4" xfId="0" applyNumberFormat="1" applyFont="1" applyBorder="1" applyAlignment="1" applyProtection="1">
      <alignment horizontal="center" wrapText="1"/>
      <protection/>
    </xf>
    <xf numFmtId="166" fontId="2" fillId="0" borderId="0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left" wrapText="1"/>
      <protection/>
    </xf>
    <xf numFmtId="0" fontId="5" fillId="2" borderId="1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 wrapText="1"/>
      <protection/>
    </xf>
    <xf numFmtId="0" fontId="5" fillId="2" borderId="6" xfId="0" applyFont="1" applyFill="1" applyBorder="1" applyAlignment="1" applyProtection="1">
      <alignment horizontal="left" wrapText="1"/>
      <protection/>
    </xf>
    <xf numFmtId="0" fontId="5" fillId="2" borderId="7" xfId="0" applyFont="1" applyFill="1" applyBorder="1" applyAlignment="1" applyProtection="1">
      <alignment horizontal="left" wrapText="1"/>
      <protection/>
    </xf>
    <xf numFmtId="0" fontId="5" fillId="2" borderId="8" xfId="0" applyFont="1" applyFill="1" applyBorder="1" applyAlignment="1" applyProtection="1">
      <alignment horizontal="center" wrapText="1"/>
      <protection/>
    </xf>
    <xf numFmtId="0" fontId="5" fillId="2" borderId="9" xfId="0" applyFont="1" applyFill="1" applyBorder="1" applyAlignment="1" applyProtection="1">
      <alignment horizontal="left" wrapText="1"/>
      <protection/>
    </xf>
    <xf numFmtId="0" fontId="5" fillId="2" borderId="9" xfId="0" applyFont="1" applyFill="1" applyBorder="1" applyAlignment="1" applyProtection="1">
      <alignment horizontal="left"/>
      <protection/>
    </xf>
    <xf numFmtId="0" fontId="3" fillId="2" borderId="10" xfId="0" applyFont="1" applyFill="1" applyBorder="1" applyAlignment="1" applyProtection="1">
      <alignment horizontal="left" wrapText="1"/>
      <protection/>
    </xf>
    <xf numFmtId="0" fontId="5" fillId="2" borderId="0" xfId="0" applyFont="1" applyFill="1" applyBorder="1" applyAlignment="1" applyProtection="1">
      <alignment horizontal="left" wrapText="1"/>
      <protection/>
    </xf>
    <xf numFmtId="0" fontId="5" fillId="2" borderId="0" xfId="0" applyFont="1" applyFill="1" applyBorder="1" applyAlignment="1" applyProtection="1">
      <alignment horizontal="left"/>
      <protection/>
    </xf>
    <xf numFmtId="0" fontId="3" fillId="2" borderId="11" xfId="0" applyFont="1" applyFill="1" applyBorder="1" applyAlignment="1" applyProtection="1">
      <alignment horizontal="left" wrapText="1"/>
      <protection/>
    </xf>
    <xf numFmtId="0" fontId="5" fillId="2" borderId="12" xfId="0" applyFont="1" applyFill="1" applyBorder="1" applyAlignment="1" applyProtection="1">
      <alignment horizontal="left" wrapText="1"/>
      <protection/>
    </xf>
    <xf numFmtId="0" fontId="5" fillId="2" borderId="12" xfId="0" applyFont="1" applyFill="1" applyBorder="1" applyAlignment="1" applyProtection="1">
      <alignment horizontal="left"/>
      <protection/>
    </xf>
    <xf numFmtId="0" fontId="3" fillId="2" borderId="13" xfId="0" applyFont="1" applyFill="1" applyBorder="1" applyAlignment="1" applyProtection="1">
      <alignment horizontal="left" wrapText="1"/>
      <protection/>
    </xf>
    <xf numFmtId="0" fontId="3" fillId="2" borderId="14" xfId="0" applyFont="1" applyFill="1" applyBorder="1" applyAlignment="1" applyProtection="1">
      <alignment horizontal="left" wrapText="1"/>
      <protection/>
    </xf>
    <xf numFmtId="0" fontId="5" fillId="2" borderId="2" xfId="0" applyFont="1" applyFill="1" applyBorder="1" applyProtection="1">
      <protection/>
    </xf>
    <xf numFmtId="0" fontId="5" fillId="2" borderId="14" xfId="0" applyFont="1" applyFill="1" applyBorder="1" applyProtection="1">
      <protection/>
    </xf>
    <xf numFmtId="0" fontId="5" fillId="2" borderId="2" xfId="0" applyFont="1" applyFill="1" applyBorder="1" applyAlignment="1" applyProtection="1">
      <alignment horizontal="left"/>
      <protection/>
    </xf>
    <xf numFmtId="0" fontId="5" fillId="2" borderId="14" xfId="0" applyFont="1" applyFill="1" applyBorder="1" applyAlignment="1" applyProtection="1">
      <alignment horizontal="left"/>
      <protection/>
    </xf>
    <xf numFmtId="167" fontId="6" fillId="0" borderId="0" xfId="0" applyNumberFormat="1" applyFont="1" applyFill="1" applyBorder="1" applyAlignment="1" applyProtection="1">
      <alignment horizontal="center" vertical="center" wrapText="1"/>
      <protection/>
    </xf>
    <xf numFmtId="167" fontId="6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Protection="1">
      <protection/>
    </xf>
    <xf numFmtId="0" fontId="10" fillId="0" borderId="15" xfId="0" applyFont="1" applyBorder="1" applyProtection="1">
      <protection/>
    </xf>
    <xf numFmtId="0" fontId="6" fillId="0" borderId="15" xfId="0" applyFont="1" applyBorder="1" applyAlignment="1" applyProtection="1">
      <alignment horizontal="left" wrapText="1"/>
      <protection/>
    </xf>
    <xf numFmtId="0" fontId="10" fillId="0" borderId="15" xfId="0" applyFont="1" applyBorder="1" applyAlignment="1" applyProtection="1">
      <alignment horizontal="left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167" fontId="6" fillId="0" borderId="16" xfId="0" applyNumberFormat="1" applyFont="1" applyFill="1" applyBorder="1" applyAlignment="1" applyProtection="1">
      <alignment horizontal="center" vertical="center" wrapText="1"/>
      <protection/>
    </xf>
    <xf numFmtId="166" fontId="6" fillId="0" borderId="15" xfId="0" applyNumberFormat="1" applyFont="1" applyFill="1" applyBorder="1" applyAlignment="1" applyProtection="1">
      <alignment horizontal="center" vertical="center" wrapText="1"/>
      <protection/>
    </xf>
    <xf numFmtId="166" fontId="6" fillId="0" borderId="15" xfId="0" applyNumberFormat="1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166" fontId="2" fillId="0" borderId="1" xfId="0" applyNumberFormat="1" applyFont="1" applyBorder="1" applyAlignment="1" applyProtection="1">
      <alignment horizontal="left" wrapText="1"/>
      <protection/>
    </xf>
    <xf numFmtId="166" fontId="11" fillId="0" borderId="1" xfId="0" applyNumberFormat="1" applyFont="1" applyBorder="1" applyAlignment="1" applyProtection="1">
      <alignment horizontal="left" wrapText="1"/>
      <protection locked="0"/>
    </xf>
    <xf numFmtId="166" fontId="11" fillId="0" borderId="1" xfId="0" applyNumberFormat="1" applyFont="1" applyBorder="1" applyAlignment="1" applyProtection="1">
      <alignment horizontal="left" wrapText="1"/>
      <protection/>
    </xf>
    <xf numFmtId="167" fontId="13" fillId="0" borderId="17" xfId="0" applyNumberFormat="1" applyFont="1" applyFill="1" applyBorder="1" applyAlignment="1" applyProtection="1">
      <alignment horizontal="center" vertical="center" wrapText="1"/>
      <protection/>
    </xf>
    <xf numFmtId="166" fontId="6" fillId="0" borderId="15" xfId="0" applyNumberFormat="1" applyFont="1" applyFill="1" applyBorder="1" applyAlignment="1" applyProtection="1">
      <alignment horizont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Protection="1">
      <protection/>
    </xf>
    <xf numFmtId="0" fontId="6" fillId="0" borderId="0" xfId="0" applyFont="1" applyFill="1" applyBorder="1" applyAlignment="1" applyProtection="1">
      <alignment horizontal="left"/>
      <protection/>
    </xf>
    <xf numFmtId="0" fontId="3" fillId="0" borderId="19" xfId="0" applyFont="1" applyBorder="1" applyProtection="1"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wrapText="1"/>
      <protection/>
    </xf>
    <xf numFmtId="166" fontId="6" fillId="0" borderId="20" xfId="0" applyNumberFormat="1" applyFont="1" applyBorder="1" applyAlignment="1" applyProtection="1">
      <alignment horizontal="center" vertical="center" wrapText="1"/>
      <protection/>
    </xf>
    <xf numFmtId="166" fontId="6" fillId="0" borderId="0" xfId="0" applyNumberFormat="1" applyFont="1" applyBorder="1" applyAlignment="1" applyProtection="1">
      <alignment horizontal="right" wrapText="1"/>
      <protection/>
    </xf>
    <xf numFmtId="166" fontId="6" fillId="0" borderId="18" xfId="0" applyNumberFormat="1" applyFont="1" applyBorder="1" applyAlignment="1" applyProtection="1">
      <alignment horizontal="right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166" fontId="6" fillId="0" borderId="0" xfId="0" applyNumberFormat="1" applyFont="1" applyBorder="1" applyAlignment="1" applyProtection="1">
      <alignment horizontal="left" wrapText="1"/>
      <protection/>
    </xf>
    <xf numFmtId="166" fontId="6" fillId="0" borderId="18" xfId="0" applyNumberFormat="1" applyFont="1" applyBorder="1" applyAlignment="1" applyProtection="1">
      <alignment horizontal="left" wrapText="1"/>
      <protection/>
    </xf>
    <xf numFmtId="0" fontId="10" fillId="0" borderId="0" xfId="0" applyFont="1" applyFill="1" applyProtection="1">
      <protection/>
    </xf>
    <xf numFmtId="0" fontId="3" fillId="0" borderId="0" xfId="0" applyFont="1" applyFill="1" applyProtection="1">
      <protection/>
    </xf>
    <xf numFmtId="166" fontId="2" fillId="0" borderId="19" xfId="0" applyNumberFormat="1" applyFont="1" applyBorder="1" applyAlignment="1" applyProtection="1">
      <alignment horizontal="left" wrapText="1"/>
      <protection/>
    </xf>
    <xf numFmtId="165" fontId="3" fillId="0" borderId="0" xfId="0" applyNumberFormat="1" applyFont="1" applyProtection="1">
      <protection/>
    </xf>
    <xf numFmtId="164" fontId="10" fillId="0" borderId="16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166" fontId="10" fillId="0" borderId="15" xfId="0" applyNumberFormat="1" applyFont="1" applyFill="1" applyBorder="1" applyAlignment="1" applyProtection="1">
      <alignment horizontal="left" wrapText="1"/>
      <protection/>
    </xf>
    <xf numFmtId="166" fontId="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7" fontId="6" fillId="0" borderId="16" xfId="0" applyNumberFormat="1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Alignment="1" applyProtection="1">
      <alignment/>
      <protection/>
    </xf>
    <xf numFmtId="0" fontId="10" fillId="0" borderId="16" xfId="0" applyFont="1" applyFill="1" applyBorder="1" applyProtection="1">
      <protection/>
    </xf>
    <xf numFmtId="167" fontId="6" fillId="0" borderId="15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8" fillId="0" borderId="9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164" fontId="3" fillId="0" borderId="21" xfId="0" applyNumberFormat="1" applyFont="1" applyBorder="1" applyAlignment="1" applyProtection="1">
      <alignment/>
      <protection/>
    </xf>
    <xf numFmtId="164" fontId="7" fillId="0" borderId="21" xfId="0" applyNumberFormat="1" applyFont="1" applyBorder="1" applyAlignment="1" applyProtection="1">
      <alignment/>
      <protection/>
    </xf>
    <xf numFmtId="164" fontId="3" fillId="0" borderId="22" xfId="0" applyNumberFormat="1" applyFont="1" applyBorder="1" applyAlignment="1" applyProtection="1">
      <alignment/>
      <protection/>
    </xf>
    <xf numFmtId="0" fontId="3" fillId="0" borderId="21" xfId="0" applyFont="1" applyBorder="1" applyProtection="1">
      <protection/>
    </xf>
    <xf numFmtId="0" fontId="10" fillId="0" borderId="16" xfId="0" applyFont="1" applyBorder="1" applyProtection="1"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23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left"/>
      <protection/>
    </xf>
    <xf numFmtId="166" fontId="12" fillId="0" borderId="1" xfId="0" applyNumberFormat="1" applyFont="1" applyBorder="1" applyAlignment="1" applyProtection="1">
      <alignment horizontal="left" wrapText="1"/>
      <protection/>
    </xf>
    <xf numFmtId="166" fontId="13" fillId="0" borderId="24" xfId="0" applyNumberFormat="1" applyFont="1" applyBorder="1" applyAlignment="1" applyProtection="1">
      <alignment horizontal="center" vertical="center" wrapText="1"/>
      <protection/>
    </xf>
    <xf numFmtId="166" fontId="6" fillId="0" borderId="24" xfId="0" applyNumberFormat="1" applyFont="1" applyBorder="1" applyAlignment="1" applyProtection="1">
      <alignment horizontal="center" vertical="center" wrapText="1"/>
      <protection/>
    </xf>
    <xf numFmtId="166" fontId="6" fillId="0" borderId="21" xfId="0" applyNumberFormat="1" applyFont="1" applyBorder="1" applyAlignment="1" applyProtection="1">
      <alignment horizontal="right" wrapText="1"/>
      <protection/>
    </xf>
    <xf numFmtId="166" fontId="2" fillId="0" borderId="0" xfId="0" applyNumberFormat="1" applyFont="1" applyBorder="1" applyAlignment="1" applyProtection="1">
      <alignment horizontal="left" wrapText="1"/>
      <protection/>
    </xf>
    <xf numFmtId="166" fontId="13" fillId="0" borderId="25" xfId="0" applyNumberFormat="1" applyFont="1" applyBorder="1" applyAlignment="1" applyProtection="1">
      <alignment horizontal="center" vertical="center" wrapText="1"/>
      <protection/>
    </xf>
    <xf numFmtId="166" fontId="6" fillId="0" borderId="25" xfId="0" applyNumberFormat="1" applyFont="1" applyBorder="1" applyAlignment="1" applyProtection="1">
      <alignment horizontal="center" vertical="center" wrapText="1"/>
      <protection/>
    </xf>
    <xf numFmtId="166" fontId="6" fillId="0" borderId="22" xfId="0" applyNumberFormat="1" applyFont="1" applyBorder="1" applyAlignment="1" applyProtection="1">
      <alignment horizontal="left" wrapText="1"/>
      <protection/>
    </xf>
    <xf numFmtId="166" fontId="6" fillId="0" borderId="22" xfId="0" applyNumberFormat="1" applyFont="1" applyBorder="1" applyAlignment="1" applyProtection="1">
      <alignment horizontal="right" wrapText="1"/>
      <protection/>
    </xf>
    <xf numFmtId="165" fontId="10" fillId="0" borderId="0" xfId="0" applyNumberFormat="1" applyFont="1" applyFill="1" applyProtection="1">
      <protection/>
    </xf>
    <xf numFmtId="165" fontId="3" fillId="0" borderId="0" xfId="0" applyNumberFormat="1" applyFont="1" applyFill="1" applyProtection="1">
      <protection/>
    </xf>
    <xf numFmtId="166" fontId="12" fillId="0" borderId="1" xfId="0" applyNumberFormat="1" applyFont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/>
      <protection/>
    </xf>
    <xf numFmtId="0" fontId="5" fillId="4" borderId="5" xfId="0" applyFont="1" applyFill="1" applyBorder="1" applyAlignment="1" applyProtection="1">
      <alignment horizontal="left"/>
      <protection/>
    </xf>
    <xf numFmtId="0" fontId="5" fillId="5" borderId="3" xfId="0" applyFont="1" applyFill="1" applyBorder="1" applyAlignment="1" applyProtection="1">
      <alignment horizontal="left"/>
      <protection/>
    </xf>
    <xf numFmtId="0" fontId="5" fillId="5" borderId="5" xfId="0" applyFont="1" applyFill="1" applyBorder="1" applyAlignment="1" applyProtection="1">
      <alignment horizontal="left"/>
      <protection/>
    </xf>
    <xf numFmtId="0" fontId="5" fillId="6" borderId="3" xfId="0" applyFont="1" applyFill="1" applyBorder="1" applyAlignment="1" applyProtection="1">
      <alignment horizontal="left" wrapText="1"/>
      <protection/>
    </xf>
    <xf numFmtId="0" fontId="5" fillId="6" borderId="5" xfId="0" applyFont="1" applyFill="1" applyBorder="1" applyAlignment="1" applyProtection="1">
      <alignment horizontal="left" wrapText="1"/>
      <protection/>
    </xf>
    <xf numFmtId="0" fontId="5" fillId="7" borderId="3" xfId="0" applyFont="1" applyFill="1" applyBorder="1" applyAlignment="1" applyProtection="1">
      <alignment horizontal="left" wrapText="1"/>
      <protection/>
    </xf>
    <xf numFmtId="0" fontId="5" fillId="7" borderId="5" xfId="0" applyFont="1" applyFill="1" applyBorder="1" applyAlignment="1" applyProtection="1">
      <alignment horizontal="left" wrapText="1"/>
      <protection/>
    </xf>
    <xf numFmtId="0" fontId="5" fillId="7" borderId="3" xfId="0" applyFont="1" applyFill="1" applyBorder="1" applyAlignment="1" applyProtection="1">
      <alignment horizontal="left"/>
      <protection/>
    </xf>
    <xf numFmtId="0" fontId="5" fillId="7" borderId="5" xfId="0" applyFont="1" applyFill="1" applyBorder="1" applyAlignment="1" applyProtection="1">
      <alignment horizontal="left"/>
      <protection/>
    </xf>
    <xf numFmtId="0" fontId="5" fillId="6" borderId="3" xfId="0" applyFont="1" applyFill="1" applyBorder="1" applyAlignment="1" applyProtection="1">
      <alignment horizontal="left"/>
      <protection/>
    </xf>
    <xf numFmtId="0" fontId="5" fillId="6" borderId="5" xfId="0" applyFont="1" applyFill="1" applyBorder="1" applyAlignment="1" applyProtection="1">
      <alignment horizontal="left"/>
      <protection/>
    </xf>
    <xf numFmtId="0" fontId="6" fillId="8" borderId="3" xfId="0" applyFont="1" applyFill="1" applyBorder="1" applyAlignment="1" applyProtection="1">
      <alignment horizontal="center" vertical="center" wrapText="1"/>
      <protection/>
    </xf>
    <xf numFmtId="0" fontId="6" fillId="8" borderId="26" xfId="0" applyFont="1" applyFill="1" applyBorder="1" applyAlignment="1" applyProtection="1">
      <alignment horizontal="center" vertical="center" wrapText="1"/>
      <protection/>
    </xf>
    <xf numFmtId="0" fontId="6" fillId="8" borderId="5" xfId="0" applyFont="1" applyFill="1" applyBorder="1" applyAlignment="1" applyProtection="1">
      <alignment horizontal="center" vertical="center" wrapText="1"/>
      <protection/>
    </xf>
    <xf numFmtId="0" fontId="6" fillId="8" borderId="3" xfId="0" applyFont="1" applyFill="1" applyBorder="1" applyAlignment="1" applyProtection="1">
      <alignment horizontal="center" vertical="center"/>
      <protection/>
    </xf>
    <xf numFmtId="0" fontId="6" fillId="8" borderId="26" xfId="0" applyFont="1" applyFill="1" applyBorder="1" applyAlignment="1" applyProtection="1">
      <alignment horizontal="center" vertical="center"/>
      <protection/>
    </xf>
    <xf numFmtId="0" fontId="6" fillId="8" borderId="12" xfId="0" applyFont="1" applyFill="1" applyBorder="1" applyAlignment="1" applyProtection="1">
      <alignment horizontal="center" vertical="center"/>
      <protection/>
    </xf>
    <xf numFmtId="0" fontId="6" fillId="8" borderId="13" xfId="0" applyFont="1" applyFill="1" applyBorder="1" applyAlignment="1" applyProtection="1">
      <alignment horizontal="center" vertical="center"/>
      <protection/>
    </xf>
    <xf numFmtId="0" fontId="6" fillId="8" borderId="8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/>
      <protection locked="0"/>
    </xf>
    <xf numFmtId="164" fontId="8" fillId="0" borderId="12" xfId="0" applyNumberFormat="1" applyFont="1" applyBorder="1" applyAlignment="1" applyProtection="1">
      <alignment horizontal="left"/>
      <protection locked="0"/>
    </xf>
    <xf numFmtId="0" fontId="6" fillId="8" borderId="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5"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66"/>
        </patternFill>
      </fill>
      <border/>
    </dxf>
    <dxf>
      <fill>
        <patternFill>
          <bgColor rgb="FF00A84C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66"/>
        </patternFill>
      </fill>
      <border/>
    </dxf>
    <dxf>
      <fill>
        <patternFill>
          <bgColor rgb="FF00A84C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66"/>
        </patternFill>
      </fill>
      <border/>
    </dxf>
    <dxf>
      <fill>
        <patternFill>
          <bgColor rgb="FF00A84C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66"/>
        </patternFill>
      </fill>
      <border/>
    </dxf>
    <dxf>
      <fill>
        <patternFill>
          <bgColor rgb="FF00A84C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66"/>
        </patternFill>
      </fill>
      <border/>
    </dxf>
    <dxf>
      <fill>
        <patternFill>
          <bgColor rgb="FF00A84C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5" fmlaLink="$A$1" max="9999" min="1900" page="10" val="2016"/>
</file>

<file path=xl/ctrlProps/ctrlProp10.xml><?xml version="1.0" encoding="utf-8"?>
<formControlPr xmlns="http://schemas.microsoft.com/office/spreadsheetml/2009/9/main" objectType="Spin" dx="15" fmlaLink="$A$1" max="9999" min="1900" page="10" val="2016"/>
</file>

<file path=xl/ctrlProps/ctrlProp2.xml><?xml version="1.0" encoding="utf-8"?>
<formControlPr xmlns="http://schemas.microsoft.com/office/spreadsheetml/2009/9/main" objectType="Spin" dx="15" fmlaLink="$A$1" max="9999" min="1900" page="10" val="2016"/>
</file>

<file path=xl/ctrlProps/ctrlProp3.xml><?xml version="1.0" encoding="utf-8"?>
<formControlPr xmlns="http://schemas.microsoft.com/office/spreadsheetml/2009/9/main" objectType="Spin" dx="15" fmlaLink="$A$1" max="9999" min="1900" page="10" val="2016"/>
</file>

<file path=xl/ctrlProps/ctrlProp4.xml><?xml version="1.0" encoding="utf-8"?>
<formControlPr xmlns="http://schemas.microsoft.com/office/spreadsheetml/2009/9/main" objectType="Spin" dx="15" fmlaLink="$A$1" max="9999" min="1900" page="10" val="2016"/>
</file>

<file path=xl/ctrlProps/ctrlProp5.xml><?xml version="1.0" encoding="utf-8"?>
<formControlPr xmlns="http://schemas.microsoft.com/office/spreadsheetml/2009/9/main" objectType="Spin" dx="15" fmlaLink="$A$1" max="9999" min="1900" page="10" val="2016"/>
</file>

<file path=xl/ctrlProps/ctrlProp6.xml><?xml version="1.0" encoding="utf-8"?>
<formControlPr xmlns="http://schemas.microsoft.com/office/spreadsheetml/2009/9/main" objectType="Spin" dx="15" fmlaLink="$A$1" max="9999" min="1900" page="10" val="2016"/>
</file>

<file path=xl/ctrlProps/ctrlProp7.xml><?xml version="1.0" encoding="utf-8"?>
<formControlPr xmlns="http://schemas.microsoft.com/office/spreadsheetml/2009/9/main" objectType="Spin" dx="15" fmlaLink="$A$1" max="9999" min="1900" page="10" val="2016"/>
</file>

<file path=xl/ctrlProps/ctrlProp8.xml><?xml version="1.0" encoding="utf-8"?>
<formControlPr xmlns="http://schemas.microsoft.com/office/spreadsheetml/2009/9/main" objectType="Spin" dx="15" fmlaLink="$A$1" max="9999" min="1900" page="10" val="2016"/>
</file>

<file path=xl/ctrlProps/ctrlProp9.xml><?xml version="1.0" encoding="utf-8"?>
<formControlPr xmlns="http://schemas.microsoft.com/office/spreadsheetml/2009/9/main" objectType="Spin" dx="15" fmlaLink="$A$1" max="9999" min="1900" page="10" val="2016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4.xml" /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6.xml" /><Relationship Id="rId4" Type="http://schemas.openxmlformats.org/officeDocument/2006/relationships/ctrlProp" Target="../ctrlProps/ctrlProp5.xml" /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8.xml" /><Relationship Id="rId4" Type="http://schemas.openxmlformats.org/officeDocument/2006/relationships/ctrlProp" Target="../ctrlProps/ctrlProp7.xml" /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0.xml" /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showGridLines="0" tabSelected="1" workbookViewId="0" topLeftCell="A1">
      <selection activeCell="D17" sqref="D17"/>
    </sheetView>
  </sheetViews>
  <sheetFormatPr defaultColWidth="9.140625" defaultRowHeight="12.75"/>
  <cols>
    <col min="1" max="1" width="15.421875" style="2" bestFit="1" customWidth="1"/>
    <col min="2" max="2" width="1.7109375" style="73" customWidth="1"/>
    <col min="3" max="5" width="3.7109375" style="2" customWidth="1"/>
    <col min="6" max="6" width="3.57421875" style="2" customWidth="1"/>
    <col min="7" max="10" width="3.7109375" style="2" customWidth="1"/>
    <col min="11" max="11" width="5.7109375" style="72" customWidth="1"/>
    <col min="12" max="12" width="1.7109375" style="73" customWidth="1"/>
    <col min="13" max="20" width="3.7109375" style="2" customWidth="1"/>
    <col min="21" max="21" width="5.7109375" style="72" customWidth="1"/>
    <col min="22" max="22" width="1.7109375" style="73" customWidth="1"/>
    <col min="23" max="30" width="3.7109375" style="2" customWidth="1"/>
    <col min="31" max="31" width="5.7109375" style="72" customWidth="1"/>
    <col min="32" max="32" width="1.7109375" style="73" customWidth="1"/>
    <col min="33" max="40" width="3.7109375" style="2" customWidth="1"/>
    <col min="41" max="41" width="5.7109375" style="42" customWidth="1"/>
    <col min="42" max="42" width="1.7109375" style="2" customWidth="1"/>
    <col min="43" max="43" width="3.7109375" style="2" customWidth="1"/>
    <col min="44" max="44" width="17.421875" style="2" customWidth="1"/>
    <col min="45" max="45" width="9.00390625" style="2" customWidth="1"/>
    <col min="46" max="46" width="6.421875" style="2" customWidth="1"/>
    <col min="47" max="47" width="7.7109375" style="2" customWidth="1"/>
    <col min="48" max="48" width="14.28125" style="2" customWidth="1"/>
    <col min="49" max="49" width="9.140625" style="2" customWidth="1"/>
    <col min="50" max="50" width="9.8515625" style="2" customWidth="1"/>
    <col min="51" max="51" width="9.140625" style="2" customWidth="1"/>
    <col min="52" max="52" width="9.140625" style="2" hidden="1" customWidth="1"/>
    <col min="53" max="16384" width="9.140625" style="2" customWidth="1"/>
  </cols>
  <sheetData>
    <row r="1" spans="1:40" ht="26.25">
      <c r="A1" s="92">
        <v>2017</v>
      </c>
      <c r="B1" s="56"/>
      <c r="D1" s="93"/>
      <c r="E1" s="93"/>
      <c r="F1" s="94" t="s">
        <v>25</v>
      </c>
      <c r="G1" s="95"/>
      <c r="H1" s="95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98"/>
      <c r="V1" s="89"/>
      <c r="W1" s="93"/>
      <c r="X1" s="93"/>
      <c r="Y1" s="94" t="s">
        <v>41</v>
      </c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</row>
    <row r="2" spans="1:40" ht="5.25" customHeight="1" thickBot="1">
      <c r="A2" s="92"/>
      <c r="B2" s="56"/>
      <c r="D2" s="93"/>
      <c r="E2" s="93"/>
      <c r="F2" s="94"/>
      <c r="G2" s="95"/>
      <c r="H2" s="95"/>
      <c r="I2" s="96"/>
      <c r="J2" s="96"/>
      <c r="K2" s="97"/>
      <c r="L2" s="97"/>
      <c r="M2" s="97"/>
      <c r="N2" s="96"/>
      <c r="O2" s="96"/>
      <c r="P2" s="96"/>
      <c r="Q2" s="96"/>
      <c r="R2" s="96"/>
      <c r="S2" s="96"/>
      <c r="T2" s="96"/>
      <c r="U2" s="98"/>
      <c r="V2" s="89"/>
      <c r="W2" s="93"/>
      <c r="X2" s="93"/>
      <c r="Y2" s="94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50" ht="15.95" customHeight="1" thickTop="1">
      <c r="A3" s="92"/>
      <c r="B3" s="56"/>
      <c r="C3" s="57"/>
      <c r="D3" s="100"/>
      <c r="E3" s="100"/>
      <c r="F3" s="101"/>
      <c r="G3" s="100"/>
      <c r="H3" s="100"/>
      <c r="I3" s="102"/>
      <c r="J3" s="102"/>
      <c r="K3" s="76"/>
      <c r="L3" s="77"/>
      <c r="M3" s="78"/>
      <c r="N3" s="102"/>
      <c r="O3" s="102"/>
      <c r="P3" s="102"/>
      <c r="Q3" s="102"/>
      <c r="R3" s="102"/>
      <c r="S3" s="102"/>
      <c r="T3" s="102"/>
      <c r="U3" s="76"/>
      <c r="V3" s="89"/>
      <c r="W3" s="78"/>
      <c r="X3" s="100"/>
      <c r="Y3" s="100"/>
      <c r="Z3" s="103"/>
      <c r="AA3" s="103"/>
      <c r="AB3" s="103"/>
      <c r="AC3" s="103"/>
      <c r="AD3" s="103"/>
      <c r="AE3" s="90"/>
      <c r="AG3" s="57"/>
      <c r="AH3" s="103"/>
      <c r="AI3" s="103"/>
      <c r="AJ3" s="103"/>
      <c r="AK3" s="103"/>
      <c r="AL3" s="103"/>
      <c r="AM3" s="103"/>
      <c r="AN3" s="103"/>
      <c r="AO3" s="104"/>
      <c r="AR3" s="35" t="s">
        <v>34</v>
      </c>
      <c r="AS3" s="35" t="s">
        <v>47</v>
      </c>
      <c r="AT3" s="35"/>
      <c r="AU3" s="37"/>
      <c r="AV3" s="37" t="s">
        <v>19</v>
      </c>
      <c r="AW3" s="35"/>
      <c r="AX3" s="35" t="s">
        <v>49</v>
      </c>
    </row>
    <row r="4" spans="1:52" ht="15.95" customHeight="1">
      <c r="A4" s="105" t="s">
        <v>24</v>
      </c>
      <c r="B4" s="58"/>
      <c r="C4" s="59"/>
      <c r="D4" s="136" t="s">
        <v>5</v>
      </c>
      <c r="E4" s="137"/>
      <c r="F4" s="137"/>
      <c r="G4" s="137"/>
      <c r="H4" s="137"/>
      <c r="I4" s="138"/>
      <c r="J4" s="139"/>
      <c r="K4" s="79"/>
      <c r="L4" s="80"/>
      <c r="M4" s="59"/>
      <c r="N4" s="140" t="s">
        <v>8</v>
      </c>
      <c r="O4" s="138"/>
      <c r="P4" s="138"/>
      <c r="Q4" s="138"/>
      <c r="R4" s="138"/>
      <c r="S4" s="138"/>
      <c r="T4" s="139"/>
      <c r="U4" s="79"/>
      <c r="V4" s="80"/>
      <c r="W4" s="59"/>
      <c r="X4" s="136" t="s">
        <v>11</v>
      </c>
      <c r="Y4" s="137"/>
      <c r="Z4" s="137"/>
      <c r="AA4" s="137"/>
      <c r="AB4" s="137"/>
      <c r="AC4" s="137"/>
      <c r="AD4" s="143"/>
      <c r="AE4" s="79"/>
      <c r="AF4" s="80"/>
      <c r="AG4" s="59"/>
      <c r="AH4" s="136" t="s">
        <v>13</v>
      </c>
      <c r="AI4" s="137"/>
      <c r="AJ4" s="137"/>
      <c r="AK4" s="137"/>
      <c r="AL4" s="137"/>
      <c r="AM4" s="137"/>
      <c r="AN4" s="143"/>
      <c r="AO4" s="43"/>
      <c r="AR4" s="36"/>
      <c r="AS4" s="36" t="s">
        <v>46</v>
      </c>
      <c r="AT4" s="36" t="s">
        <v>18</v>
      </c>
      <c r="AU4" s="38" t="s">
        <v>19</v>
      </c>
      <c r="AV4" s="38" t="s">
        <v>48</v>
      </c>
      <c r="AW4" s="36" t="s">
        <v>26</v>
      </c>
      <c r="AX4" s="36" t="s">
        <v>50</v>
      </c>
      <c r="AZ4" s="18">
        <v>0</v>
      </c>
    </row>
    <row r="5" spans="1:52" s="3" customFormat="1" ht="15.95" customHeight="1">
      <c r="A5" s="106" t="s">
        <v>36</v>
      </c>
      <c r="B5" s="58"/>
      <c r="C5" s="60"/>
      <c r="D5" s="107" t="s">
        <v>0</v>
      </c>
      <c r="E5" s="107" t="s">
        <v>1</v>
      </c>
      <c r="F5" s="107" t="s">
        <v>2</v>
      </c>
      <c r="G5" s="107" t="s">
        <v>3</v>
      </c>
      <c r="H5" s="107" t="s">
        <v>2</v>
      </c>
      <c r="I5" s="107" t="s">
        <v>4</v>
      </c>
      <c r="J5" s="107" t="s">
        <v>0</v>
      </c>
      <c r="K5" s="81"/>
      <c r="L5" s="82"/>
      <c r="M5" s="60"/>
      <c r="N5" s="107" t="s">
        <v>0</v>
      </c>
      <c r="O5" s="107" t="s">
        <v>1</v>
      </c>
      <c r="P5" s="107" t="s">
        <v>2</v>
      </c>
      <c r="Q5" s="107" t="s">
        <v>3</v>
      </c>
      <c r="R5" s="107" t="s">
        <v>2</v>
      </c>
      <c r="S5" s="107" t="s">
        <v>4</v>
      </c>
      <c r="T5" s="107" t="s">
        <v>0</v>
      </c>
      <c r="U5" s="81"/>
      <c r="V5" s="82"/>
      <c r="W5" s="60"/>
      <c r="X5" s="107" t="s">
        <v>0</v>
      </c>
      <c r="Y5" s="107" t="s">
        <v>1</v>
      </c>
      <c r="Z5" s="107" t="s">
        <v>2</v>
      </c>
      <c r="AA5" s="107" t="s">
        <v>3</v>
      </c>
      <c r="AB5" s="107" t="s">
        <v>2</v>
      </c>
      <c r="AC5" s="107" t="s">
        <v>4</v>
      </c>
      <c r="AD5" s="107" t="s">
        <v>0</v>
      </c>
      <c r="AE5" s="81"/>
      <c r="AF5" s="82"/>
      <c r="AG5" s="60"/>
      <c r="AH5" s="107" t="s">
        <v>0</v>
      </c>
      <c r="AI5" s="107" t="s">
        <v>1</v>
      </c>
      <c r="AJ5" s="107" t="s">
        <v>2</v>
      </c>
      <c r="AK5" s="107" t="s">
        <v>3</v>
      </c>
      <c r="AL5" s="107" t="s">
        <v>2</v>
      </c>
      <c r="AM5" s="107" t="s">
        <v>4</v>
      </c>
      <c r="AN5" s="107" t="s">
        <v>0</v>
      </c>
      <c r="AO5" s="44"/>
      <c r="AR5" s="19" t="s">
        <v>33</v>
      </c>
      <c r="AS5" s="4" t="s">
        <v>20</v>
      </c>
      <c r="AT5" s="4" t="s">
        <v>2</v>
      </c>
      <c r="AU5" s="4" t="s">
        <v>22</v>
      </c>
      <c r="AV5" s="4" t="s">
        <v>35</v>
      </c>
      <c r="AW5" s="4" t="s">
        <v>31</v>
      </c>
      <c r="AX5" s="4" t="s">
        <v>39</v>
      </c>
      <c r="AZ5" s="6">
        <v>0.5</v>
      </c>
    </row>
    <row r="6" spans="1:52" s="3" customFormat="1" ht="15.95" customHeight="1">
      <c r="A6" s="108" t="s">
        <v>45</v>
      </c>
      <c r="B6" s="58"/>
      <c r="C6" s="60"/>
      <c r="D6" s="51" t="str">
        <f>IF(AND(YEAR(JanSun1)=$A$1,MONTH(JanSun1)=1),JanSun1,"")</f>
        <v/>
      </c>
      <c r="E6" s="51" t="str">
        <f>IF(AND(YEAR(JanSun1+1)=$A$1,MONTH(JanSun1+1)=1),JanSun1+1,"")</f>
        <v/>
      </c>
      <c r="F6" s="51" t="str">
        <f>IF(AND(YEAR(JanSun1+2)=$A$1,MONTH(JanSun1+2)=1),JanSun1+2,"")</f>
        <v/>
      </c>
      <c r="G6" s="51" t="str">
        <f>IF(AND(YEAR(JanSun1+3)=$A$1,MONTH(JanSun1+3)=1),JanSun1+3,"")</f>
        <v/>
      </c>
      <c r="H6" s="51" t="str">
        <f>IF(AND(YEAR(JanSun1+4)=$A$1,MONTH(JanSun1+4)=1),JanSun1+4,"")</f>
        <v/>
      </c>
      <c r="I6" s="51">
        <f>IF(AND(YEAR(JanSun1+5)=$A$1,MONTH(JanSun1+5)=1),JanSun1+5,"")</f>
        <v>42370</v>
      </c>
      <c r="J6" s="51">
        <f>IF(AND(YEAR(JanSun1+6)=$A$1,MONTH(JanSun1+6)=1),JanSun1+6,"")</f>
        <v>42371</v>
      </c>
      <c r="K6" s="49"/>
      <c r="L6" s="16"/>
      <c r="M6" s="60"/>
      <c r="N6" s="51" t="str">
        <f>IF(AND(YEAR(AprSun1)=$A$1,MONTH(AprSun1)=4),AprSun1,"")</f>
        <v/>
      </c>
      <c r="O6" s="51" t="str">
        <f>IF(AND(YEAR(AprSun1+1)=$A$1,MONTH(AprSun1+1)=4),AprSun1+1,"")</f>
        <v/>
      </c>
      <c r="P6" s="51" t="str">
        <f>IF(AND(YEAR(AprSun1+2)=$A$1,MONTH(AprSun1+2)=4),AprSun1+2,"")</f>
        <v/>
      </c>
      <c r="Q6" s="51" t="str">
        <f>IF(AND(YEAR(AprSun1+3)=$A$1,MONTH(AprSun1+3)=4),AprSun1+3,"")</f>
        <v/>
      </c>
      <c r="R6" s="51" t="str">
        <f>IF(AND(YEAR(AprSun1+4)=$A$1,MONTH(AprSun1+4)=4),AprSun1+4,"")</f>
        <v/>
      </c>
      <c r="S6" s="51">
        <f>IF(AND(YEAR(AprSun1+5)=$A$1,MONTH(AprSun1+5)=4),AprSun1+5,"")</f>
        <v>42461</v>
      </c>
      <c r="T6" s="51">
        <f>IF(AND(YEAR(AprSun1+6)=$A$1,MONTH(AprSun1+6)=4),AprSun1+6,"")</f>
        <v>42462</v>
      </c>
      <c r="U6" s="49"/>
      <c r="V6" s="16"/>
      <c r="W6" s="60"/>
      <c r="X6" s="51" t="str">
        <f>IF(AND(YEAR(JulSun1)=$A$1,MONTH(JulSun1)=7),JulSun1,"")</f>
        <v/>
      </c>
      <c r="Y6" s="51" t="str">
        <f>IF(AND(YEAR(JulSun1+1)=$A$1,MONTH(JulSun1+1)=7),JulSun1+1,"")</f>
        <v/>
      </c>
      <c r="Z6" s="51" t="str">
        <f>IF(AND(YEAR(JulSun1+2)=$A$1,MONTH(JulSun1+2)=7),JulSun1+2,"")</f>
        <v/>
      </c>
      <c r="AA6" s="51" t="str">
        <f>IF(AND(YEAR(JulSun1+3)=$A$1,MONTH(JulSun1+3)=7),JulSun1+3,"")</f>
        <v/>
      </c>
      <c r="AB6" s="51" t="str">
        <f>IF(AND(YEAR(JulSun1+4)=$A$1,MONTH(JulSun1+4)=7),JulSun1+4,"")</f>
        <v/>
      </c>
      <c r="AC6" s="51">
        <f>IF(AND(YEAR(JulSun1+5)=$A$1,MONTH(JulSun1+5)=7),JulSun1+5,"")</f>
        <v>42552</v>
      </c>
      <c r="AD6" s="51">
        <f>IF(AND(YEAR(JulSun1+6)=$A$1,MONTH(JulSun1+6)=7),JulSun1+6,"")</f>
        <v>42553</v>
      </c>
      <c r="AE6" s="49"/>
      <c r="AF6" s="16"/>
      <c r="AG6" s="60"/>
      <c r="AH6" s="51" t="str">
        <f>IF(AND(YEAR(OctSun1)=$A$1,MONTH(OctSun1)=10),OctSun1,"")</f>
        <v/>
      </c>
      <c r="AI6" s="51" t="str">
        <f>IF(AND(YEAR(OctSun1+1)=$A$1,MONTH(OctSun1+1)=10),OctSun1+1,"")</f>
        <v/>
      </c>
      <c r="AJ6" s="51" t="str">
        <f>IF(AND(YEAR(OctSun1+2)=$A$1,MONTH(OctSun1+2)=10),OctSun1+2,"")</f>
        <v/>
      </c>
      <c r="AK6" s="51" t="str">
        <f>IF(AND(YEAR(OctSun1+3)=$A$1,MONTH(OctSun1+3)=10),OctSun1+3,"")</f>
        <v/>
      </c>
      <c r="AL6" s="51" t="str">
        <f>IF(AND(YEAR(OctSun1+4)=$A$1,MONTH(OctSun1+4)=10),OctSun1+4,"")</f>
        <v/>
      </c>
      <c r="AM6" s="51" t="str">
        <f>IF(AND(YEAR(OctSun1+5)=$A$1,MONTH(OctSun1+5)=10),OctSun1+5,"")</f>
        <v/>
      </c>
      <c r="AN6" s="51">
        <f>IF(AND(YEAR(OctSun1+6)=$A$1,MONTH(OctSun1+6)=10),OctSun1+6,"")</f>
        <v>42644</v>
      </c>
      <c r="AO6" s="44"/>
      <c r="AR6" s="19" t="s">
        <v>24</v>
      </c>
      <c r="AS6" s="4">
        <v>0.5</v>
      </c>
      <c r="AT6" s="4">
        <v>0.5</v>
      </c>
      <c r="AU6" s="4">
        <v>1</v>
      </c>
      <c r="AV6" s="4">
        <v>0</v>
      </c>
      <c r="AW6" s="4">
        <v>0</v>
      </c>
      <c r="AX6" s="5" t="s">
        <v>42</v>
      </c>
      <c r="AZ6" s="6">
        <v>1</v>
      </c>
    </row>
    <row r="7" spans="1:52" s="6" customFormat="1" ht="15.95" customHeight="1">
      <c r="A7" s="1">
        <v>0</v>
      </c>
      <c r="B7" s="61"/>
      <c r="C7" s="62"/>
      <c r="D7" s="53"/>
      <c r="E7" s="53"/>
      <c r="F7" s="53"/>
      <c r="G7" s="53"/>
      <c r="H7" s="52"/>
      <c r="I7" s="52"/>
      <c r="J7" s="52"/>
      <c r="K7" s="83"/>
      <c r="L7" s="84"/>
      <c r="M7" s="62"/>
      <c r="N7" s="53"/>
      <c r="O7" s="53"/>
      <c r="P7" s="53"/>
      <c r="Q7" s="52"/>
      <c r="R7" s="52"/>
      <c r="S7" s="52"/>
      <c r="T7" s="52"/>
      <c r="U7" s="83"/>
      <c r="V7" s="84"/>
      <c r="W7" s="62"/>
      <c r="X7" s="53"/>
      <c r="Y7" s="53"/>
      <c r="Z7" s="53"/>
      <c r="AA7" s="52"/>
      <c r="AB7" s="52"/>
      <c r="AC7" s="52"/>
      <c r="AD7" s="52"/>
      <c r="AE7" s="83"/>
      <c r="AF7" s="84"/>
      <c r="AG7" s="62"/>
      <c r="AH7" s="53"/>
      <c r="AI7" s="53"/>
      <c r="AJ7" s="53"/>
      <c r="AK7" s="53"/>
      <c r="AL7" s="52"/>
      <c r="AM7" s="52"/>
      <c r="AN7" s="52"/>
      <c r="AO7" s="45"/>
      <c r="AZ7" s="6">
        <v>1.5</v>
      </c>
    </row>
    <row r="8" spans="2:52" s="3" customFormat="1" ht="15.95" customHeight="1">
      <c r="B8" s="63"/>
      <c r="C8" s="60"/>
      <c r="D8" s="51">
        <f>IF(AND(YEAR(JanSun1+7)=$A$1,MONTH(JanSun1+7)=1),JanSun1+7,"")</f>
        <v>42372</v>
      </c>
      <c r="E8" s="51">
        <f>IF(AND(YEAR(JanSun1+8)=$A$1,MONTH(JanSun1+8)=1),JanSun1+8,"")</f>
        <v>42373</v>
      </c>
      <c r="F8" s="51">
        <f>IF(AND(YEAR(JanSun1+9)=$A$1,MONTH(JanSun1+9)=1),JanSun1+9,"")</f>
        <v>42374</v>
      </c>
      <c r="G8" s="51">
        <f>IF(AND(YEAR(JanSun1+10)=$A$1,MONTH(JanSun1+10)=1),JanSun1+10,"")</f>
        <v>42375</v>
      </c>
      <c r="H8" s="51">
        <f>IF(AND(YEAR(JanSun1+11)=$A$1,MONTH(JanSun1+11)=1),JanSun1+11,"")</f>
        <v>42376</v>
      </c>
      <c r="I8" s="51">
        <f>IF(AND(YEAR(JanSun1+12)=$A$1,MONTH(JanSun1+12)=1),JanSun1+12,"")</f>
        <v>42377</v>
      </c>
      <c r="J8" s="51">
        <f>IF(AND(YEAR(JanSun1+13)=$A$1,MONTH(JanSun1+13)=1),JanSun1+13,"")</f>
        <v>42378</v>
      </c>
      <c r="K8" s="49"/>
      <c r="L8" s="16"/>
      <c r="M8" s="60"/>
      <c r="N8" s="51">
        <f>IF(AND(YEAR(AprSun1+7)=$A$1,MONTH(AprSun1+7)=4),AprSun1+7,"")</f>
        <v>42463</v>
      </c>
      <c r="O8" s="51">
        <f>IF(AND(YEAR(AprSun1+8)=$A$1,MONTH(AprSun1+8)=4),AprSun1+8,"")</f>
        <v>42464</v>
      </c>
      <c r="P8" s="51">
        <f>IF(AND(YEAR(AprSun1+9)=$A$1,MONTH(AprSun1+9)=4),AprSun1+9,"")</f>
        <v>42465</v>
      </c>
      <c r="Q8" s="51">
        <f>IF(AND(YEAR(AprSun1+10)=$A$1,MONTH(AprSun1+10)=4),AprSun1+10,"")</f>
        <v>42466</v>
      </c>
      <c r="R8" s="51">
        <f>IF(AND(YEAR(AprSun1+11)=$A$1,MONTH(AprSun1+11)=4),AprSun1+11,"")</f>
        <v>42467</v>
      </c>
      <c r="S8" s="51">
        <f>IF(AND(YEAR(AprSun1+12)=$A$1,MONTH(AprSun1+12)=4),AprSun1+12,"")</f>
        <v>42468</v>
      </c>
      <c r="T8" s="51">
        <f>IF(AND(YEAR(AprSun1+13)=$A$1,MONTH(AprSun1+13)=4),AprSun1+13,"")</f>
        <v>42469</v>
      </c>
      <c r="U8" s="49"/>
      <c r="V8" s="16"/>
      <c r="W8" s="60"/>
      <c r="X8" s="51">
        <f>IF(AND(YEAR(JulSun1+7)=$A$1,MONTH(JulSun1+7)=7),JulSun1+7,"")</f>
        <v>42554</v>
      </c>
      <c r="Y8" s="51">
        <f>IF(AND(YEAR(JulSun1+8)=$A$1,MONTH(JulSun1+8)=7),JulSun1+8,"")</f>
        <v>42555</v>
      </c>
      <c r="Z8" s="51">
        <f>IF(AND(YEAR(JulSun1+9)=$A$1,MONTH(JulSun1+9)=7),JulSun1+9,"")</f>
        <v>42556</v>
      </c>
      <c r="AA8" s="51">
        <f>IF(AND(YEAR(JulSun1+10)=$A$1,MONTH(JulSun1+10)=7),JulSun1+10,"")</f>
        <v>42557</v>
      </c>
      <c r="AB8" s="51">
        <f>IF(AND(YEAR(JulSun1+11)=$A$1,MONTH(JulSun1+11)=7),JulSun1+11,"")</f>
        <v>42558</v>
      </c>
      <c r="AC8" s="51">
        <f>IF(AND(YEAR(JulSun1+12)=$A$1,MONTH(JulSun1+12)=7),JulSun1+12,"")</f>
        <v>42559</v>
      </c>
      <c r="AD8" s="51">
        <f>IF(AND(YEAR(JulSun1+13)=$A$1,MONTH(JulSun1+13)=7),JulSun1+13,"")</f>
        <v>42560</v>
      </c>
      <c r="AE8" s="49"/>
      <c r="AF8" s="16"/>
      <c r="AG8" s="60"/>
      <c r="AH8" s="51">
        <f>IF(AND(YEAR(OctSun1+7)=$A$1,MONTH(OctSun1+7)=10),OctSun1+7,"")</f>
        <v>42645</v>
      </c>
      <c r="AI8" s="51">
        <f>IF(AND(YEAR(OctSun1+8)=$A$1,MONTH(OctSun1+8)=10),OctSun1+8,"")</f>
        <v>42646</v>
      </c>
      <c r="AJ8" s="51">
        <f>IF(AND(YEAR(OctSun1+9)=$A$1,MONTH(OctSun1+9)=10),OctSun1+9,"")</f>
        <v>42647</v>
      </c>
      <c r="AK8" s="51">
        <f>IF(AND(YEAR(OctSun1+10)=$A$1,MONTH(OctSun1+10)=10),OctSun1+10,"")</f>
        <v>42648</v>
      </c>
      <c r="AL8" s="51">
        <f>IF(AND(YEAR(OctSun1+11)=$A$1,MONTH(OctSun1+11)=10),OctSun1+11,"")</f>
        <v>42649</v>
      </c>
      <c r="AM8" s="51">
        <f>IF(AND(YEAR(OctSun1+12)=$A$1,MONTH(OctSun1+12)=10),OctSun1+12,"")</f>
        <v>42650</v>
      </c>
      <c r="AN8" s="51">
        <f>IF(AND(YEAR(OctSun1+13)=$A$1,MONTH(OctSun1+13)=10),OctSun1+13,"")</f>
        <v>42651</v>
      </c>
      <c r="AO8" s="44"/>
      <c r="AR8" s="19" t="s">
        <v>38</v>
      </c>
      <c r="AS8" s="19">
        <v>2014</v>
      </c>
      <c r="AT8" s="20" t="s">
        <v>18</v>
      </c>
      <c r="AU8" s="19" t="s">
        <v>19</v>
      </c>
      <c r="AV8" s="19" t="s">
        <v>17</v>
      </c>
      <c r="AW8" s="19"/>
      <c r="AZ8" s="6">
        <v>2</v>
      </c>
    </row>
    <row r="9" spans="1:52" s="6" customFormat="1" ht="15.95" customHeight="1" thickBot="1">
      <c r="A9" s="105" t="s">
        <v>43</v>
      </c>
      <c r="B9" s="58"/>
      <c r="C9" s="62"/>
      <c r="D9" s="52"/>
      <c r="E9" s="52"/>
      <c r="F9" s="52"/>
      <c r="G9" s="52"/>
      <c r="H9" s="52"/>
      <c r="I9" s="52"/>
      <c r="J9" s="52"/>
      <c r="K9" s="83"/>
      <c r="L9" s="84"/>
      <c r="M9" s="62"/>
      <c r="N9" s="52"/>
      <c r="O9" s="52"/>
      <c r="P9" s="52"/>
      <c r="Q9" s="52"/>
      <c r="R9" s="52"/>
      <c r="S9" s="52"/>
      <c r="T9" s="52"/>
      <c r="U9" s="83"/>
      <c r="V9" s="84"/>
      <c r="W9" s="62"/>
      <c r="X9" s="52"/>
      <c r="Y9" s="52"/>
      <c r="Z9" s="52"/>
      <c r="AA9" s="52"/>
      <c r="AB9" s="52"/>
      <c r="AC9" s="52"/>
      <c r="AD9" s="52"/>
      <c r="AE9" s="83"/>
      <c r="AF9" s="84"/>
      <c r="AG9" s="62"/>
      <c r="AH9" s="52"/>
      <c r="AI9" s="52"/>
      <c r="AJ9" s="52"/>
      <c r="AK9" s="52"/>
      <c r="AL9" s="52"/>
      <c r="AM9" s="52"/>
      <c r="AN9" s="52"/>
      <c r="AO9" s="45"/>
      <c r="AR9" s="19"/>
      <c r="AS9" s="19" t="s">
        <v>37</v>
      </c>
      <c r="AT9" s="4" t="s">
        <v>2</v>
      </c>
      <c r="AU9" s="4" t="s">
        <v>22</v>
      </c>
      <c r="AV9" s="4" t="s">
        <v>20</v>
      </c>
      <c r="AW9" s="7" t="s">
        <v>23</v>
      </c>
      <c r="AZ9" s="18">
        <v>2.5</v>
      </c>
    </row>
    <row r="10" spans="1:52" s="3" customFormat="1" ht="15.95" customHeight="1" thickBot="1">
      <c r="A10" s="106" t="s">
        <v>36</v>
      </c>
      <c r="B10" s="58"/>
      <c r="C10" s="60"/>
      <c r="D10" s="51">
        <f>IF(AND(YEAR(JanSun1+14)=$A$1,MONTH(JanSun1+14)=1),JanSun1+14,"")</f>
        <v>42379</v>
      </c>
      <c r="E10" s="51">
        <f>IF(AND(YEAR(JanSun1+15)=$A$1,MONTH(JanSun1+15)=1),JanSun1+15,"")</f>
        <v>42380</v>
      </c>
      <c r="F10" s="51">
        <f>IF(AND(YEAR(JanSun1+16)=$A$1,MONTH(JanSun1+16)=1),JanSun1+16,"")</f>
        <v>42381</v>
      </c>
      <c r="G10" s="51">
        <f>IF(AND(YEAR(JanSun1+17)=$A$1,MONTH(JanSun1+17)=1),JanSun1+17,"")</f>
        <v>42382</v>
      </c>
      <c r="H10" s="51">
        <f>IF(AND(YEAR(JanSun1+18)=$A$1,MONTH(JanSun1+18)=1),JanSun1+18,"")</f>
        <v>42383</v>
      </c>
      <c r="I10" s="51">
        <f>IF(AND(YEAR(JanSun1+19)=$A$1,MONTH(JanSun1+19)=1),JanSun1+19,"")</f>
        <v>42384</v>
      </c>
      <c r="J10" s="51">
        <f>IF(AND(YEAR(JanSun1+20)=$A$1,MONTH(JanSun1+20)=1),JanSun1+20,"")</f>
        <v>42385</v>
      </c>
      <c r="K10" s="49"/>
      <c r="L10" s="16"/>
      <c r="M10" s="60"/>
      <c r="N10" s="51">
        <f>IF(AND(YEAR(AprSun1+14)=$A$1,MONTH(AprSun1+14)=4),AprSun1+14,"")</f>
        <v>42470</v>
      </c>
      <c r="O10" s="51">
        <f>IF(AND(YEAR(AprSun1+15)=$A$1,MONTH(AprSun1+15)=4),AprSun1+15,"")</f>
        <v>42471</v>
      </c>
      <c r="P10" s="51">
        <f>IF(AND(YEAR(AprSun1+16)=$A$1,MONTH(AprSun1+16)=4),AprSun1+16,"")</f>
        <v>42472</v>
      </c>
      <c r="Q10" s="51">
        <f>IF(AND(YEAR(AprSun1+17)=$A$1,MONTH(AprSun1+17)=4),AprSun1+17,"")</f>
        <v>42473</v>
      </c>
      <c r="R10" s="51">
        <f>IF(AND(YEAR(AprSun1+18)=$A$1,MONTH(AprSun1+18)=4),AprSun1+18,"")</f>
        <v>42474</v>
      </c>
      <c r="S10" s="51">
        <f>IF(AND(YEAR(AprSun1+19)=$A$1,MONTH(AprSun1+19)=4),AprSun1+19,"")</f>
        <v>42475</v>
      </c>
      <c r="T10" s="51">
        <f>IF(AND(YEAR(AprSun1+20)=$A$1,MONTH(AprSun1+20)=4),AprSun1+20,"")</f>
        <v>42476</v>
      </c>
      <c r="U10" s="49"/>
      <c r="V10" s="16"/>
      <c r="W10" s="60"/>
      <c r="X10" s="51">
        <f>IF(AND(YEAR(JulSun1+14)=$A$1,MONTH(JulSun1+14)=7),JulSun1+14,"")</f>
        <v>42561</v>
      </c>
      <c r="Y10" s="51">
        <f>IF(AND(YEAR(JulSun1+15)=$A$1,MONTH(JulSun1+15)=7),JulSun1+15,"")</f>
        <v>42562</v>
      </c>
      <c r="Z10" s="51">
        <f>IF(AND(YEAR(JulSun1+16)=$A$1,MONTH(JulSun1+16)=7),JulSun1+16,"")</f>
        <v>42563</v>
      </c>
      <c r="AA10" s="51">
        <f>IF(AND(YEAR(JulSun1+17)=$A$1,MONTH(JulSun1+17)=7),JulSun1+17,"")</f>
        <v>42564</v>
      </c>
      <c r="AB10" s="51">
        <f>IF(AND(YEAR(JulSun1+18)=$A$1,MONTH(JulSun1+18)=7),JulSun1+18,"")</f>
        <v>42565</v>
      </c>
      <c r="AC10" s="51">
        <f>IF(AND(YEAR(JulSun1+19)=$A$1,MONTH(JulSun1+19)=7),JulSun1+19,"")</f>
        <v>42566</v>
      </c>
      <c r="AD10" s="51">
        <f>IF(AND(YEAR(JulSun1+20)=$A$1,MONTH(JulSun1+20)=7),JulSun1+20,"")</f>
        <v>42567</v>
      </c>
      <c r="AE10" s="49"/>
      <c r="AF10" s="16"/>
      <c r="AG10" s="60"/>
      <c r="AH10" s="51">
        <f>IF(AND(YEAR(OctSun1+14)=$A$1,MONTH(OctSun1+14)=10),OctSun1+14,"")</f>
        <v>42652</v>
      </c>
      <c r="AI10" s="51">
        <f>IF(AND(YEAR(OctSun1+15)=$A$1,MONTH(OctSun1+15)=10),OctSun1+15,"")</f>
        <v>42653</v>
      </c>
      <c r="AJ10" s="51">
        <f>IF(AND(YEAR(OctSun1+16)=$A$1,MONTH(OctSun1+16)=10),OctSun1+16,"")</f>
        <v>42654</v>
      </c>
      <c r="AK10" s="51">
        <f>IF(AND(YEAR(OctSun1+17)=$A$1,MONTH(OctSun1+17)=10),OctSun1+17,"")</f>
        <v>42655</v>
      </c>
      <c r="AL10" s="51">
        <f>IF(AND(YEAR(OctSun1+18)=$A$1,MONTH(OctSun1+18)=10),OctSun1+18,"")</f>
        <v>42656</v>
      </c>
      <c r="AM10" s="51">
        <f>IF(AND(YEAR(OctSun1+19)=$A$1,MONTH(OctSun1+19)=10),OctSun1+19,"")</f>
        <v>42657</v>
      </c>
      <c r="AN10" s="51">
        <f>IF(AND(YEAR(OctSun1+20)=$A$1,MONTH(OctSun1+20)=10),OctSun1+20,"")</f>
        <v>42658</v>
      </c>
      <c r="AO10" s="44"/>
      <c r="AR10" s="19" t="s">
        <v>24</v>
      </c>
      <c r="AS10" s="19">
        <f>A7</f>
        <v>0</v>
      </c>
      <c r="AT10" s="4">
        <f>F18+F33+F52+P18+P35+P52+Z18+Z35+Z52+AJ18+AJ35+AJ52</f>
        <v>0</v>
      </c>
      <c r="AU10" s="8">
        <f>J18+J33+J52+T52+T35+T18+AD18+AD35+AD52+AN52+AN35+AN18+AR26</f>
        <v>0</v>
      </c>
      <c r="AV10" s="9">
        <f>SUM(H18,H33,H52,R52,R35,R18,AB18,AB35,AB52,AL52,AL35,AL18)</f>
        <v>0</v>
      </c>
      <c r="AW10" s="10">
        <f>AS10+(AT10*0.5)+AU10+(AV10*0.5)</f>
        <v>0</v>
      </c>
      <c r="AZ10" s="6">
        <v>3</v>
      </c>
    </row>
    <row r="11" spans="1:52" s="6" customFormat="1" ht="15.95" customHeight="1">
      <c r="A11" s="108" t="s">
        <v>45</v>
      </c>
      <c r="B11" s="58"/>
      <c r="C11" s="62"/>
      <c r="D11" s="52"/>
      <c r="E11" s="52"/>
      <c r="F11" s="52"/>
      <c r="G11" s="52"/>
      <c r="H11" s="52"/>
      <c r="I11" s="52"/>
      <c r="J11" s="52"/>
      <c r="K11" s="83"/>
      <c r="L11" s="84"/>
      <c r="M11" s="62"/>
      <c r="N11" s="52"/>
      <c r="O11" s="52"/>
      <c r="P11" s="52"/>
      <c r="Q11" s="52"/>
      <c r="R11" s="52"/>
      <c r="S11" s="52"/>
      <c r="T11" s="52"/>
      <c r="U11" s="83"/>
      <c r="V11" s="84"/>
      <c r="W11" s="62"/>
      <c r="X11" s="52"/>
      <c r="Y11" s="52"/>
      <c r="Z11" s="52"/>
      <c r="AA11" s="52"/>
      <c r="AB11" s="52"/>
      <c r="AC11" s="52"/>
      <c r="AD11" s="52"/>
      <c r="AE11" s="83"/>
      <c r="AF11" s="84"/>
      <c r="AG11" s="62"/>
      <c r="AH11" s="52"/>
      <c r="AI11" s="52"/>
      <c r="AJ11" s="52"/>
      <c r="AK11" s="52"/>
      <c r="AL11" s="52"/>
      <c r="AM11" s="52"/>
      <c r="AN11" s="52"/>
      <c r="AO11" s="45"/>
      <c r="AZ11" s="6">
        <v>3.5</v>
      </c>
    </row>
    <row r="12" spans="1:52" s="3" customFormat="1" ht="15.95" customHeight="1">
      <c r="A12" s="1">
        <v>0</v>
      </c>
      <c r="B12" s="61"/>
      <c r="C12" s="60"/>
      <c r="D12" s="51">
        <f>IF(AND(YEAR(JanSun1+21)=$A$1,MONTH(JanSun1+21)=1),JanSun1+21,"")</f>
        <v>42386</v>
      </c>
      <c r="E12" s="51">
        <f>IF(AND(YEAR(JanSun1+22)=$A$1,MONTH(JanSun1+22)=1),JanSun1+22,"")</f>
        <v>42387</v>
      </c>
      <c r="F12" s="51">
        <f>IF(AND(YEAR(JanSun1+23)=$A$1,MONTH(JanSun1+23)=1),JanSun1+23,"")</f>
        <v>42388</v>
      </c>
      <c r="G12" s="51">
        <f>IF(AND(YEAR(JanSun1+24)=$A$1,MONTH(JanSun1+24)=1),JanSun1+24,"")</f>
        <v>42389</v>
      </c>
      <c r="H12" s="51">
        <f>IF(AND(YEAR(JanSun1+25)=$A$1,MONTH(JanSun1+25)=1),JanSun1+25,"")</f>
        <v>42390</v>
      </c>
      <c r="I12" s="51">
        <f>IF(AND(YEAR(JanSun1+26)=$A$1,MONTH(JanSun1+26)=1),JanSun1+26,"")</f>
        <v>42391</v>
      </c>
      <c r="J12" s="51">
        <f>IF(AND(YEAR(JanSun1+27)=$A$1,MONTH(JanSun1+27)=1),JanSun1+27,"")</f>
        <v>42392</v>
      </c>
      <c r="K12" s="49"/>
      <c r="L12" s="16"/>
      <c r="M12" s="60"/>
      <c r="N12" s="51">
        <f>IF(AND(YEAR(AprSun1+21)=$A$1,MONTH(AprSun1+21)=4),AprSun1+21,"")</f>
        <v>42477</v>
      </c>
      <c r="O12" s="51">
        <f>IF(AND(YEAR(AprSun1+22)=$A$1,MONTH(AprSun1+22)=4),AprSun1+22,"")</f>
        <v>42478</v>
      </c>
      <c r="P12" s="51">
        <f>IF(AND(YEAR(AprSun1+23)=$A$1,MONTH(AprSun1+23)=4),AprSun1+23,"")</f>
        <v>42479</v>
      </c>
      <c r="Q12" s="51">
        <f>IF(AND(YEAR(AprSun1+24)=$A$1,MONTH(AprSun1+24)=4),AprSun1+24,"")</f>
        <v>42480</v>
      </c>
      <c r="R12" s="51">
        <f>IF(AND(YEAR(AprSun1+25)=$A$1,MONTH(AprSun1+25)=4),AprSun1+25,"")</f>
        <v>42481</v>
      </c>
      <c r="S12" s="51">
        <f>IF(AND(YEAR(AprSun1+26)=$A$1,MONTH(AprSun1+26)=4),AprSun1+26,"")</f>
        <v>42482</v>
      </c>
      <c r="T12" s="51">
        <f>IF(AND(YEAR(AprSun1+27)=$A$1,MONTH(AprSun1+27)=4),AprSun1+27,"")</f>
        <v>42483</v>
      </c>
      <c r="U12" s="49"/>
      <c r="V12" s="16"/>
      <c r="W12" s="60"/>
      <c r="X12" s="51">
        <f>IF(AND(YEAR(JulSun1+21)=$A$1,MONTH(JulSun1+21)=7),JulSun1+21,"")</f>
        <v>42568</v>
      </c>
      <c r="Y12" s="51">
        <f>IF(AND(YEAR(JulSun1+22)=$A$1,MONTH(JulSun1+22)=7),JulSun1+22,"")</f>
        <v>42569</v>
      </c>
      <c r="Z12" s="51">
        <f>IF(AND(YEAR(JulSun1+23)=$A$1,MONTH(JulSun1+23)=7),JulSun1+23,"")</f>
        <v>42570</v>
      </c>
      <c r="AA12" s="51">
        <f>IF(AND(YEAR(JulSun1+24)=$A$1,MONTH(JulSun1+24)=7),JulSun1+24,"")</f>
        <v>42571</v>
      </c>
      <c r="AB12" s="51">
        <f>IF(AND(YEAR(JulSun1+25)=$A$1,MONTH(JulSun1+25)=7),JulSun1+25,"")</f>
        <v>42572</v>
      </c>
      <c r="AC12" s="51">
        <f>IF(AND(YEAR(JulSun1+26)=$A$1,MONTH(JulSun1+26)=7),JulSun1+26,"")</f>
        <v>42573</v>
      </c>
      <c r="AD12" s="51">
        <f>IF(AND(YEAR(JulSun1+27)=$A$1,MONTH(JulSun1+27)=7),JulSun1+27,"")</f>
        <v>42574</v>
      </c>
      <c r="AE12" s="49"/>
      <c r="AF12" s="16"/>
      <c r="AG12" s="60"/>
      <c r="AH12" s="51">
        <f>IF(AND(YEAR(OctSun1+21)=$A$1,MONTH(OctSun1+21)=10),OctSun1+21,"")</f>
        <v>42659</v>
      </c>
      <c r="AI12" s="51">
        <f>IF(AND(YEAR(OctSun1+22)=$A$1,MONTH(OctSun1+22)=10),OctSun1+22,"")</f>
        <v>42660</v>
      </c>
      <c r="AJ12" s="51">
        <f>IF(AND(YEAR(OctSun1+23)=$A$1,MONTH(OctSun1+23)=10),OctSun1+23,"")</f>
        <v>42661</v>
      </c>
      <c r="AK12" s="51">
        <f>IF(AND(YEAR(OctSun1+24)=$A$1,MONTH(OctSun1+24)=10),OctSun1+24,"")</f>
        <v>42662</v>
      </c>
      <c r="AL12" s="51">
        <f>IF(AND(YEAR(OctSun1+25)=$A$1,MONTH(OctSun1+25)=10),OctSun1+25,"")</f>
        <v>42663</v>
      </c>
      <c r="AM12" s="51">
        <f>IF(AND(YEAR(OctSun1+26)=$A$1,MONTH(OctSun1+26)=10),OctSun1+26,"")</f>
        <v>42664</v>
      </c>
      <c r="AN12" s="51">
        <f>IF(AND(YEAR(OctSun1+27)=$A$1,MONTH(OctSun1+27)=10),OctSun1+27,"")</f>
        <v>42665</v>
      </c>
      <c r="AO12" s="44"/>
      <c r="AR12" s="19" t="s">
        <v>24</v>
      </c>
      <c r="AS12" s="4">
        <v>4</v>
      </c>
      <c r="AT12" s="129" t="s">
        <v>27</v>
      </c>
      <c r="AU12" s="130"/>
      <c r="AZ12" s="6">
        <v>4</v>
      </c>
    </row>
    <row r="13" spans="2:52" s="6" customFormat="1" ht="15.95" customHeight="1">
      <c r="B13" s="64"/>
      <c r="C13" s="62"/>
      <c r="D13" s="52"/>
      <c r="E13" s="52"/>
      <c r="F13" s="52"/>
      <c r="G13" s="52"/>
      <c r="H13" s="52"/>
      <c r="I13" s="52"/>
      <c r="J13" s="52"/>
      <c r="K13" s="83"/>
      <c r="L13" s="84"/>
      <c r="M13" s="62"/>
      <c r="N13" s="52"/>
      <c r="O13" s="52"/>
      <c r="P13" s="52"/>
      <c r="Q13" s="52"/>
      <c r="R13" s="52"/>
      <c r="S13" s="52"/>
      <c r="T13" s="52"/>
      <c r="U13" s="83"/>
      <c r="V13" s="84"/>
      <c r="W13" s="62"/>
      <c r="X13" s="52"/>
      <c r="Y13" s="52"/>
      <c r="Z13" s="52"/>
      <c r="AA13" s="52"/>
      <c r="AB13" s="52"/>
      <c r="AC13" s="52"/>
      <c r="AD13" s="52"/>
      <c r="AE13" s="83"/>
      <c r="AF13" s="84"/>
      <c r="AG13" s="62"/>
      <c r="AH13" s="52"/>
      <c r="AI13" s="52"/>
      <c r="AJ13" s="52"/>
      <c r="AK13" s="52"/>
      <c r="AL13" s="52"/>
      <c r="AM13" s="52"/>
      <c r="AN13" s="52"/>
      <c r="AO13" s="45"/>
      <c r="AR13" s="17">
        <f>AS10+(AT10*0.5)+AU10+(AV10*0.5)</f>
        <v>0</v>
      </c>
      <c r="AS13" s="4">
        <v>6</v>
      </c>
      <c r="AT13" s="131" t="s">
        <v>28</v>
      </c>
      <c r="AU13" s="132"/>
      <c r="AZ13" s="6">
        <v>4.5</v>
      </c>
    </row>
    <row r="14" spans="2:52" s="3" customFormat="1" ht="15.95" customHeight="1">
      <c r="B14" s="63"/>
      <c r="C14" s="60"/>
      <c r="D14" s="51">
        <f>IF(AND(YEAR(JanSun1+28)=$A$1,MONTH(JanSun1+28)=1),JanSun1+28,"")</f>
        <v>42393</v>
      </c>
      <c r="E14" s="51">
        <f>IF(AND(YEAR(JanSun1+29)=$A$1,MONTH(JanSun1+29)=1),JanSun1+29,"")</f>
        <v>42394</v>
      </c>
      <c r="F14" s="51">
        <f>IF(AND(YEAR(JanSun1+30)=$A$1,MONTH(JanSun1+30)=1),JanSun1+30,"")</f>
        <v>42395</v>
      </c>
      <c r="G14" s="51">
        <f>IF(AND(YEAR(JanSun1+31)=$A$1,MONTH(JanSun1+31)=1),JanSun1+31,"")</f>
        <v>42396</v>
      </c>
      <c r="H14" s="51">
        <f>IF(AND(YEAR(JanSun1+32)=$A$1,MONTH(JanSun1+32)=1),JanSun1+32,"")</f>
        <v>42397</v>
      </c>
      <c r="I14" s="51">
        <f>IF(AND(YEAR(JanSun1+33)=$A$1,MONTH(JanSun1+33)=1),JanSun1+33,"")</f>
        <v>42398</v>
      </c>
      <c r="J14" s="51">
        <f>IF(AND(YEAR(JanSun1+34)=$A$1,MONTH(JanSun1+34)=1),JanSun1+34,"")</f>
        <v>42399</v>
      </c>
      <c r="K14" s="49"/>
      <c r="L14" s="16"/>
      <c r="M14" s="60"/>
      <c r="N14" s="51">
        <f>IF(AND(YEAR(AprSun1+28)=$A$1,MONTH(AprSun1+28)=4),AprSun1+28,"")</f>
        <v>42484</v>
      </c>
      <c r="O14" s="51">
        <f>IF(AND(YEAR(AprSun1+29)=$A$1,MONTH(AprSun1+29)=4),AprSun1+29,"")</f>
        <v>42485</v>
      </c>
      <c r="P14" s="51">
        <f>IF(AND(YEAR(AprSun1+30)=$A$1,MONTH(AprSun1+30)=4),AprSun1+30,"")</f>
        <v>42486</v>
      </c>
      <c r="Q14" s="51">
        <f>IF(AND(YEAR(AprSun1+31)=$A$1,MONTH(AprSun1+31)=4),AprSun1+31,"")</f>
        <v>42487</v>
      </c>
      <c r="R14" s="51">
        <f>IF(AND(YEAR(AprSun1+32)=$A$1,MONTH(AprSun1+32)=4),AprSun1+32,"")</f>
        <v>42488</v>
      </c>
      <c r="S14" s="51">
        <f>IF(AND(YEAR(AprSun1+33)=$A$1,MONTH(AprSun1+33)=4),AprSun1+33,"")</f>
        <v>42489</v>
      </c>
      <c r="T14" s="51">
        <f>IF(AND(YEAR(AprSun1+34)=$A$1,MONTH(AprSun1+34)=4),AprSun1+34,"")</f>
        <v>42490</v>
      </c>
      <c r="U14" s="49"/>
      <c r="V14" s="16"/>
      <c r="W14" s="60"/>
      <c r="X14" s="51">
        <f>IF(AND(YEAR(JulSun1+28)=$A$1,MONTH(JulSun1+28)=7),JulSun1+28,"")</f>
        <v>42575</v>
      </c>
      <c r="Y14" s="51">
        <f>IF(AND(YEAR(JulSun1+29)=$A$1,MONTH(JulSun1+29)=7),JulSun1+29,"")</f>
        <v>42576</v>
      </c>
      <c r="Z14" s="51">
        <f>IF(AND(YEAR(JulSun1+30)=$A$1,MONTH(JulSun1+30)=7),JulSun1+30,"")</f>
        <v>42577</v>
      </c>
      <c r="AA14" s="51">
        <f>IF(AND(YEAR(JulSun1+31)=$A$1,MONTH(JulSun1+31)=7),JulSun1+31,"")</f>
        <v>42578</v>
      </c>
      <c r="AB14" s="51">
        <f>IF(AND(YEAR(JulSun1+32)=$A$1,MONTH(JulSun1+32)=7),JulSun1+32,"")</f>
        <v>42579</v>
      </c>
      <c r="AC14" s="51">
        <f>IF(AND(YEAR(JulSun1+33)=$A$1,MONTH(JulSun1+33)=7),JulSun1+33,"")</f>
        <v>42580</v>
      </c>
      <c r="AD14" s="51">
        <f>IF(AND(YEAR(JulSun1+34)=$A$1,MONTH(JulSun1+34)=7),JulSun1+34,"")</f>
        <v>42581</v>
      </c>
      <c r="AE14" s="49"/>
      <c r="AF14" s="16"/>
      <c r="AG14" s="60"/>
      <c r="AH14" s="51">
        <f>IF(AND(YEAR(OctSun1+28)=$A$1,MONTH(OctSun1+28)=10),OctSun1+28,"")</f>
        <v>42666</v>
      </c>
      <c r="AI14" s="51">
        <f>IF(AND(YEAR(OctSun1+29)=$A$1,MONTH(OctSun1+29)=10),OctSun1+29,"")</f>
        <v>42667</v>
      </c>
      <c r="AJ14" s="51">
        <f>IF(AND(YEAR(OctSun1+30)=$A$1,MONTH(OctSun1+30)=10),OctSun1+30,"")</f>
        <v>42668</v>
      </c>
      <c r="AK14" s="51">
        <f>IF(AND(YEAR(OctSun1+31)=$A$1,MONTH(OctSun1+31)=10),OctSun1+31,"")</f>
        <v>42669</v>
      </c>
      <c r="AL14" s="51">
        <f>IF(AND(YEAR(OctSun1+32)=$A$1,MONTH(OctSun1+32)=10),OctSun1+32,"")</f>
        <v>42670</v>
      </c>
      <c r="AM14" s="51">
        <f>IF(AND(YEAR(OctSun1+33)=$A$1,MONTH(OctSun1+33)=10),OctSun1+33,"")</f>
        <v>42671</v>
      </c>
      <c r="AN14" s="51">
        <f>IF(AND(YEAR(OctSun1+34)=$A$1,MONTH(OctSun1+34)=10),OctSun1+34,"")</f>
        <v>42672</v>
      </c>
      <c r="AO14" s="44"/>
      <c r="AR14" s="19"/>
      <c r="AS14" s="4">
        <v>8</v>
      </c>
      <c r="AT14" s="121" t="s">
        <v>29</v>
      </c>
      <c r="AU14" s="122"/>
      <c r="AZ14" s="18">
        <v>5</v>
      </c>
    </row>
    <row r="15" spans="1:52" s="6" customFormat="1" ht="15.95" customHeight="1">
      <c r="A15" s="3"/>
      <c r="B15" s="63"/>
      <c r="C15" s="60"/>
      <c r="D15" s="52"/>
      <c r="E15" s="52"/>
      <c r="F15" s="52"/>
      <c r="G15" s="52"/>
      <c r="H15" s="52"/>
      <c r="I15" s="52"/>
      <c r="J15" s="52"/>
      <c r="K15" s="49"/>
      <c r="L15" s="16"/>
      <c r="M15" s="60"/>
      <c r="N15" s="52"/>
      <c r="O15" s="52"/>
      <c r="P15" s="52"/>
      <c r="Q15" s="52"/>
      <c r="R15" s="52"/>
      <c r="S15" s="52"/>
      <c r="T15" s="52"/>
      <c r="U15" s="49"/>
      <c r="V15" s="16"/>
      <c r="W15" s="60"/>
      <c r="X15" s="52"/>
      <c r="Y15" s="52"/>
      <c r="Z15" s="52"/>
      <c r="AA15" s="52"/>
      <c r="AB15" s="52"/>
      <c r="AC15" s="52"/>
      <c r="AD15" s="120"/>
      <c r="AE15" s="49"/>
      <c r="AF15" s="16"/>
      <c r="AG15" s="60"/>
      <c r="AH15" s="52"/>
      <c r="AI15" s="52"/>
      <c r="AJ15" s="52"/>
      <c r="AK15" s="52"/>
      <c r="AL15" s="52"/>
      <c r="AM15" s="52"/>
      <c r="AN15" s="52"/>
      <c r="AO15" s="44"/>
      <c r="AP15" s="3"/>
      <c r="AQ15" s="3"/>
      <c r="AR15" s="19"/>
      <c r="AS15" s="4">
        <v>10</v>
      </c>
      <c r="AT15" s="123" t="s">
        <v>30</v>
      </c>
      <c r="AU15" s="124"/>
      <c r="AZ15" s="6">
        <v>5.5</v>
      </c>
    </row>
    <row r="16" spans="1:52" s="6" customFormat="1" ht="15.95" customHeight="1">
      <c r="A16" s="3"/>
      <c r="B16" s="63"/>
      <c r="C16" s="60"/>
      <c r="D16" s="51">
        <f>IF(AND(YEAR(JanSun1+35)=$A$1,MONTH(JanSun1+35)=1),JanSun1+35,"")</f>
        <v>42400</v>
      </c>
      <c r="E16" s="51" t="str">
        <f>IF(AND(YEAR(JanSun1+36)=$A$1,MONTH(JanSun1+36)=1),JanSun1+36,"")</f>
        <v/>
      </c>
      <c r="F16" s="51" t="str">
        <f>IF(AND(YEAR(JanSun1+37)=$A$1,MONTH(JanSun1+37)=1),JanSun1+37,"")</f>
        <v/>
      </c>
      <c r="G16" s="51" t="str">
        <f>IF(AND(YEAR(JanSun1+38)=$A$1,MONTH(JanSun1+38)=1),JanSun1+38,"")</f>
        <v/>
      </c>
      <c r="H16" s="51" t="str">
        <f>IF(AND(YEAR(JanSun1+39)=$A$1,MONTH(JanSun1+39)=1),JanSun1+39,"")</f>
        <v/>
      </c>
      <c r="I16" s="51" t="str">
        <f>IF(AND(YEAR(JanSun1+40)=$A$1,MONTH(JanSun1+40)=1),JanSun1+40,"")</f>
        <v/>
      </c>
      <c r="J16" s="51" t="str">
        <f>IF(AND(YEAR(JanSun1+41)=$A$1,MONTH(JanSun1+41)=1),JanSun1+41,"")</f>
        <v/>
      </c>
      <c r="K16" s="49"/>
      <c r="L16" s="16"/>
      <c r="M16" s="60"/>
      <c r="N16" s="51" t="str">
        <f>IF(AND(YEAR(AprSun1+35)=$A$1,MONTH(AprSun1+35)=4),AprSun1+35,"")</f>
        <v/>
      </c>
      <c r="O16" s="51" t="str">
        <f>IF(AND(YEAR(AprSun1+36)=$A$1,MONTH(AprSun1+36)=4),AprSun1+36,"")</f>
        <v/>
      </c>
      <c r="P16" s="51" t="str">
        <f>IF(AND(YEAR(AprSun1+37)=$A$1,MONTH(AprSun1+37)=4),AprSun1+37,"")</f>
        <v/>
      </c>
      <c r="Q16" s="51" t="str">
        <f>IF(AND(YEAR(AprSun1+38)=$A$1,MONTH(AprSun1+38)=4),AprSun1+38,"")</f>
        <v/>
      </c>
      <c r="R16" s="51" t="str">
        <f>IF(AND(YEAR(AprSun1+39)=$A$1,MONTH(AprSun1+39)=4),AprSun1+39,"")</f>
        <v/>
      </c>
      <c r="S16" s="51" t="str">
        <f>IF(AND(YEAR(AprSun1+40)=$A$1,MONTH(AprSun1+40)=4),AprSun1+40,"")</f>
        <v/>
      </c>
      <c r="T16" s="51" t="str">
        <f>IF(AND(YEAR(AprSun1+41)=$A$1,MONTH(AprSun1+41)=4),AprSun1+41,"")</f>
        <v/>
      </c>
      <c r="U16" s="49"/>
      <c r="V16" s="16"/>
      <c r="W16" s="60"/>
      <c r="X16" s="51">
        <f>IF(AND(YEAR(JulSun1+35)=$A$1,MONTH(JulSun1+35)=7),JulSun1+35,"")</f>
        <v>42582</v>
      </c>
      <c r="Y16" s="51" t="str">
        <f>IF(AND(YEAR(JulSun1+36)=$A$1,MONTH(JulSun1+36)=7),JulSun1+36,"")</f>
        <v/>
      </c>
      <c r="Z16" s="51" t="str">
        <f>IF(AND(YEAR(JulSun1+37)=$A$1,MONTH(JulSun1+37)=7),JulSun1+37,"")</f>
        <v/>
      </c>
      <c r="AA16" s="51" t="str">
        <f>IF(AND(YEAR(JulSun1+38)=$A$1,MONTH(JulSun1+38)=7),JulSun1+38,"")</f>
        <v/>
      </c>
      <c r="AB16" s="51" t="str">
        <f>IF(AND(YEAR(JulSun1+39)=$A$1,MONTH(JulSun1+39)=7),JulSun1+39,"")</f>
        <v/>
      </c>
      <c r="AC16" s="51" t="str">
        <f>IF(AND(YEAR(JulSun1+40)=$A$1,MONTH(JulSun1+40)=7),JulSun1+40,"")</f>
        <v/>
      </c>
      <c r="AD16" s="51" t="str">
        <f>IF(AND(YEAR(JulSun1+41)=$A$1,MONTH(JulSun1+41)=7),JulSun1+41,"")</f>
        <v/>
      </c>
      <c r="AE16" s="49"/>
      <c r="AF16" s="16"/>
      <c r="AG16" s="60"/>
      <c r="AH16" s="51">
        <f>IF(AND(YEAR(OctSun1+35)=$A$1,MONTH(OctSun1+35)=10),OctSun1+35,"")</f>
        <v>42673</v>
      </c>
      <c r="AI16" s="51">
        <f>IF(AND(YEAR(OctSun1+36)=$A$1,MONTH(OctSun1+36)=10),OctSun1+36,"")</f>
        <v>42674</v>
      </c>
      <c r="AJ16" s="51" t="str">
        <f>IF(AND(YEAR(OctSun1+37)=$A$1,MONTH(OctSun1+37)=10),OctSun1+37,"")</f>
        <v/>
      </c>
      <c r="AK16" s="51" t="str">
        <f>IF(AND(YEAR(OctSun1+38)=$A$1,MONTH(OctSun1+38)=10),OctSun1+38,"")</f>
        <v/>
      </c>
      <c r="AL16" s="51" t="str">
        <f>IF(AND(YEAR(OctSun1+39)=$A$1,MONTH(OctSun1+39)=10),OctSun1+39,"")</f>
        <v/>
      </c>
      <c r="AM16" s="51" t="str">
        <f>IF(AND(YEAR(OctSun1+40)=$A$1,MONTH(OctSun1+40)=10),OctSun1+40,"")</f>
        <v/>
      </c>
      <c r="AN16" s="51" t="str">
        <f>IF(AND(YEAR(OctSun1+41)=$A$1,MONTH(OctSun1+41)=10),OctSun1+41,"")</f>
        <v/>
      </c>
      <c r="AO16" s="44"/>
      <c r="AP16" s="3"/>
      <c r="AQ16" s="3"/>
      <c r="AR16" s="12"/>
      <c r="AZ16" s="6">
        <v>6</v>
      </c>
    </row>
    <row r="17" spans="2:52" s="6" customFormat="1" ht="15.95" customHeight="1">
      <c r="B17" s="64"/>
      <c r="C17" s="62"/>
      <c r="D17" s="52"/>
      <c r="E17" s="53"/>
      <c r="F17" s="53"/>
      <c r="G17" s="53"/>
      <c r="H17" s="53"/>
      <c r="I17" s="53"/>
      <c r="J17" s="53"/>
      <c r="K17" s="48" t="s">
        <v>21</v>
      </c>
      <c r="L17" s="16"/>
      <c r="M17" s="62"/>
      <c r="N17" s="53"/>
      <c r="O17" s="53"/>
      <c r="P17" s="53"/>
      <c r="Q17" s="53"/>
      <c r="R17" s="53"/>
      <c r="S17" s="53"/>
      <c r="T17" s="53"/>
      <c r="U17" s="48" t="s">
        <v>21</v>
      </c>
      <c r="V17" s="16"/>
      <c r="W17" s="62"/>
      <c r="X17" s="52"/>
      <c r="Y17" s="53"/>
      <c r="Z17" s="53"/>
      <c r="AA17" s="53"/>
      <c r="AB17" s="53"/>
      <c r="AC17" s="53"/>
      <c r="AD17" s="53"/>
      <c r="AE17" s="48" t="s">
        <v>21</v>
      </c>
      <c r="AF17" s="16"/>
      <c r="AG17" s="62"/>
      <c r="AH17" s="52"/>
      <c r="AI17" s="52"/>
      <c r="AJ17" s="53"/>
      <c r="AK17" s="53"/>
      <c r="AL17" s="53"/>
      <c r="AM17" s="53"/>
      <c r="AN17" s="53"/>
      <c r="AO17" s="46" t="s">
        <v>21</v>
      </c>
      <c r="AP17" s="3"/>
      <c r="AQ17" s="3"/>
      <c r="AR17" s="20" t="s">
        <v>32</v>
      </c>
      <c r="AS17" s="4">
        <v>6</v>
      </c>
      <c r="AT17" s="127" t="s">
        <v>27</v>
      </c>
      <c r="AU17" s="128"/>
      <c r="AZ17" s="6">
        <v>6.5</v>
      </c>
    </row>
    <row r="18" spans="1:52" s="3" customFormat="1" ht="15.95" customHeight="1" thickBot="1">
      <c r="A18" s="6"/>
      <c r="B18" s="64"/>
      <c r="C18" s="65" t="s">
        <v>35</v>
      </c>
      <c r="D18" s="110">
        <f>COUNTIF(D7:J7,"AC")+COUNTIF(D9:J9,"AC")+COUNTIF(D11:J11,"AC")+COUNTIF(D13:J13,"AC")+COUNTIF(D15:J15,"AC")+COUNTIF(D17:J17,"AC")</f>
        <v>0</v>
      </c>
      <c r="E18" s="111" t="s">
        <v>2</v>
      </c>
      <c r="F18" s="110">
        <f>COUNTIF(D7:J7,"T")+COUNTIF(D9:J9,"T")+COUNTIF(D11:J11,"T")+COUNTIF(D13:J13,"T")+COUNTIF(D15:J15,"T")+COUNTIF(D17:J17,"T")</f>
        <v>0</v>
      </c>
      <c r="G18" s="111" t="s">
        <v>20</v>
      </c>
      <c r="H18" s="110">
        <f>COUNTIF(D7:J7,"MP")+COUNTIF(D9:J9,"MP")+COUNTIF(D11:J11,"MP")+COUNTIF(D13:J13,"MP")+COUNTIF(D15:J15,"MP")+COUNTIF(D17:J17,"MP")</f>
        <v>0</v>
      </c>
      <c r="I18" s="111" t="s">
        <v>22</v>
      </c>
      <c r="J18" s="110">
        <f>COUNTIF(D7:J7,"A")+COUNTIF(D9:J9,"A")+COUNTIF(D11:J11,"A")+COUNTIF(D13:J13,"A")+COUNTIF(D15:J15,"A")+COUNTIF(D17:J17,"A")</f>
        <v>0</v>
      </c>
      <c r="K18" s="54">
        <f>SUM((F18*0.5)+(H18*0.5)+(J18))</f>
        <v>0</v>
      </c>
      <c r="L18" s="85"/>
      <c r="M18" s="65" t="s">
        <v>35</v>
      </c>
      <c r="N18" s="110">
        <f>COUNTIF(N7:T7,"AC")+COUNTIF(N9:T9,"AC")+COUNTIF(N11:T11,"AC")+COUNTIF(N13:T13,"AC")+COUNTIF(N15:T15,"AC")+COUNTIF(N17:T17,"AC")</f>
        <v>0</v>
      </c>
      <c r="O18" s="111" t="s">
        <v>2</v>
      </c>
      <c r="P18" s="110">
        <f>COUNTIF(N7:T7,"T")+COUNTIF(N9:T9,"T")+COUNTIF(N11:T11,"T")+COUNTIF(N13:T13,"T")+COUNTIF(N15:T15,"T")+COUNTIF(N17:T17,"T")</f>
        <v>0</v>
      </c>
      <c r="Q18" s="111" t="s">
        <v>20</v>
      </c>
      <c r="R18" s="110">
        <f>COUNTIF(N7:T7,"MP")+COUNTIF(N9:T9,"MP")+COUNTIF(N11:T11,"MP")+COUNTIF(N13:T13,"MP")+COUNTIF(N15:T15,"MP")+COUNTIF(N17:T17,"MP")</f>
        <v>0</v>
      </c>
      <c r="S18" s="111" t="s">
        <v>22</v>
      </c>
      <c r="T18" s="110">
        <f>COUNTIF(N7:T7,"A")+COUNTIF(N9:T9,"A")+COUNTIF(N11:T11,"A")+COUNTIF(N13:T13,"A")+COUNTIF(N15:T15,"A")+COUNTIF(N17:T17,"A")</f>
        <v>0</v>
      </c>
      <c r="U18" s="54">
        <f>SUM((P18*0.5)+(R18*0.5)+(T18))</f>
        <v>0</v>
      </c>
      <c r="V18" s="85"/>
      <c r="W18" s="65" t="s">
        <v>35</v>
      </c>
      <c r="X18" s="110">
        <f>COUNTIF(X7:AD7,"AC")+COUNTIF(X9:AD9,"AC")+COUNTIF(X11:AD11,"AC")+COUNTIF(X13:AD13,"AC")+COUNTIF(X15:AD15,"AC")+COUNTIF(X17:AD17,"AC")</f>
        <v>0</v>
      </c>
      <c r="Y18" s="111" t="s">
        <v>2</v>
      </c>
      <c r="Z18" s="110">
        <f>COUNTIF(X7:AD7,"T")+COUNTIF(X9:AD9,"T")+COUNTIF(X11:AD11,"T")+COUNTIF(X13:AD13,"T")+COUNTIF(X15:AD15,"T")+COUNTIF(X17:AD17,"T")</f>
        <v>0</v>
      </c>
      <c r="AA18" s="111" t="s">
        <v>20</v>
      </c>
      <c r="AB18" s="110">
        <f>COUNTIF(X7:AD7,"MP")+COUNTIF(X9:AD9,"MP")+COUNTIF(X11:AD11,"MP")+COUNTIF(X13:AD13,"MP")+COUNTIF(X17:AD17,"MP")+COUNTIF(X15:AD15,"MP")</f>
        <v>0</v>
      </c>
      <c r="AC18" s="111" t="s">
        <v>22</v>
      </c>
      <c r="AD18" s="110">
        <f>COUNTIF(X7:AD7,"A")+COUNTIF(X9:AD9,"A")+COUNTIF(X11:AD11,"A")+COUNTIF(X13:AD13,"A")+COUNTIF(X15:AD15,"A")+COUNTIF(X17:AD17,"A")</f>
        <v>0</v>
      </c>
      <c r="AE18" s="54">
        <f>SUM((Z18*0.5)+(AB18*0.5)+(AD18))</f>
        <v>0</v>
      </c>
      <c r="AF18" s="85"/>
      <c r="AG18" s="65" t="s">
        <v>35</v>
      </c>
      <c r="AH18" s="110">
        <f>COUNTIF(AH7:AN7,"AC")+COUNTIF(AH9:AN9,"AC")+COUNTIF(AH11:AN11,"AC")+COUNTIF(AH13:AN13,"AC")+COUNTIF(AH15:AN15,"AC")+COUNTIF(AH17:AN17,"AC")</f>
        <v>0</v>
      </c>
      <c r="AI18" s="111" t="s">
        <v>2</v>
      </c>
      <c r="AJ18" s="110">
        <f>COUNTIF(AH7:AN7,"T")+COUNTIF(AH9:AN9,"T")+COUNTIF(AH11:AN11,"T")+COUNTIF(AH13:AN13,"T")+COUNTIF(AH15:AN15,"T")+COUNTIF(AH17:AN17,"T")</f>
        <v>0</v>
      </c>
      <c r="AK18" s="111" t="s">
        <v>20</v>
      </c>
      <c r="AL18" s="110">
        <f>COUNTIF(AH7:AN7,"MP")+COUNTIF(AH9:AN9,"MP")+COUNTIF(AH11:AN11,"MP")+COUNTIF(AH13:AN13,"MP")+COUNTIF(AH15:AN15,"MP")+COUNTIF(AH17:AN17,"MP")</f>
        <v>0</v>
      </c>
      <c r="AM18" s="111" t="s">
        <v>22</v>
      </c>
      <c r="AN18" s="110">
        <f>COUNTIF(AH7:AN7,"A")+COUNTIF(AH9:AN9,"A")+COUNTIF(AH11:AN11,"A")+COUNTIF(AH13:AN13,"A")+COUNTIF(AH15:AN15,"A")+COUNTIF(AH17:AN17,"A")</f>
        <v>0</v>
      </c>
      <c r="AO18" s="54">
        <f>SUM((AJ18*0.5)+(AL18*0.5)+(AN18))</f>
        <v>0</v>
      </c>
      <c r="AP18" s="11"/>
      <c r="AQ18" s="11"/>
      <c r="AR18" s="21" t="s">
        <v>19</v>
      </c>
      <c r="AS18" s="4">
        <v>9</v>
      </c>
      <c r="AT18" s="131" t="s">
        <v>28</v>
      </c>
      <c r="AU18" s="132"/>
      <c r="AZ18" s="6">
        <v>7</v>
      </c>
    </row>
    <row r="19" spans="1:52" s="3" customFormat="1" ht="15.95" customHeight="1" thickBot="1" thickTop="1">
      <c r="A19" s="6"/>
      <c r="B19" s="64"/>
      <c r="C19" s="66"/>
      <c r="D19" s="66"/>
      <c r="E19" s="66"/>
      <c r="F19" s="66"/>
      <c r="G19" s="66"/>
      <c r="H19" s="66"/>
      <c r="I19" s="66"/>
      <c r="J19" s="66"/>
      <c r="K19" s="39"/>
      <c r="L19" s="85"/>
      <c r="M19" s="66"/>
      <c r="N19" s="66"/>
      <c r="O19" s="66"/>
      <c r="P19" s="66"/>
      <c r="Q19" s="66"/>
      <c r="R19" s="66"/>
      <c r="S19" s="66"/>
      <c r="T19" s="66"/>
      <c r="U19" s="39"/>
      <c r="V19" s="85"/>
      <c r="W19" s="66"/>
      <c r="X19" s="66"/>
      <c r="Y19" s="66"/>
      <c r="Z19" s="66"/>
      <c r="AA19" s="66"/>
      <c r="AB19" s="66"/>
      <c r="AC19" s="66"/>
      <c r="AD19" s="66"/>
      <c r="AE19" s="39"/>
      <c r="AF19" s="85"/>
      <c r="AG19" s="66"/>
      <c r="AH19" s="66"/>
      <c r="AI19" s="66"/>
      <c r="AJ19" s="66"/>
      <c r="AK19" s="66"/>
      <c r="AL19" s="66"/>
      <c r="AM19" s="66"/>
      <c r="AN19" s="66"/>
      <c r="AO19" s="39"/>
      <c r="AQ19" s="6"/>
      <c r="AR19" s="13">
        <f>D18+J18+D33+J33+D52+J52+N18+T18+N35+T35+N52+T52+X52+AD52+X35+AD35+X18+AD18+AH18+AN18+AH35+AN35+AH52+AN52+AR23</f>
        <v>0</v>
      </c>
      <c r="AS19" s="14">
        <v>12</v>
      </c>
      <c r="AT19" s="121" t="s">
        <v>29</v>
      </c>
      <c r="AU19" s="122"/>
      <c r="AZ19" s="18">
        <v>7.5</v>
      </c>
    </row>
    <row r="20" spans="1:52" s="6" customFormat="1" ht="15.75" customHeight="1" thickTop="1">
      <c r="A20" s="3"/>
      <c r="B20" s="64"/>
      <c r="C20" s="67"/>
      <c r="D20" s="112"/>
      <c r="E20" s="112"/>
      <c r="F20" s="112"/>
      <c r="G20" s="112"/>
      <c r="H20" s="112"/>
      <c r="I20" s="112"/>
      <c r="J20" s="112"/>
      <c r="K20" s="47"/>
      <c r="L20" s="85"/>
      <c r="M20" s="67"/>
      <c r="N20" s="112"/>
      <c r="O20" s="112"/>
      <c r="P20" s="112"/>
      <c r="Q20" s="112"/>
      <c r="R20" s="112"/>
      <c r="S20" s="112"/>
      <c r="T20" s="112"/>
      <c r="U20" s="47"/>
      <c r="V20" s="85"/>
      <c r="W20" s="67"/>
      <c r="X20" s="112"/>
      <c r="Y20" s="112"/>
      <c r="Z20" s="112"/>
      <c r="AA20" s="112"/>
      <c r="AB20" s="112"/>
      <c r="AC20" s="112"/>
      <c r="AD20" s="112"/>
      <c r="AE20" s="47"/>
      <c r="AF20" s="85"/>
      <c r="AG20" s="67"/>
      <c r="AH20" s="112"/>
      <c r="AI20" s="112"/>
      <c r="AJ20" s="112"/>
      <c r="AK20" s="112"/>
      <c r="AL20" s="112"/>
      <c r="AM20" s="112"/>
      <c r="AN20" s="112"/>
      <c r="AO20" s="47"/>
      <c r="AP20" s="3"/>
      <c r="AQ20" s="3"/>
      <c r="AR20" s="19"/>
      <c r="AS20" s="4">
        <v>15</v>
      </c>
      <c r="AT20" s="123" t="s">
        <v>30</v>
      </c>
      <c r="AU20" s="124"/>
      <c r="AZ20" s="6">
        <v>8</v>
      </c>
    </row>
    <row r="21" spans="2:52" s="3" customFormat="1" ht="15.95" customHeight="1">
      <c r="B21" s="63"/>
      <c r="C21" s="62"/>
      <c r="D21" s="133" t="s">
        <v>6</v>
      </c>
      <c r="E21" s="134"/>
      <c r="F21" s="134"/>
      <c r="G21" s="134"/>
      <c r="H21" s="134"/>
      <c r="I21" s="134"/>
      <c r="J21" s="135"/>
      <c r="K21" s="86"/>
      <c r="L21" s="87"/>
      <c r="M21" s="62"/>
      <c r="N21" s="133" t="s">
        <v>9</v>
      </c>
      <c r="O21" s="134"/>
      <c r="P21" s="134"/>
      <c r="Q21" s="134"/>
      <c r="R21" s="134"/>
      <c r="S21" s="134"/>
      <c r="T21" s="135"/>
      <c r="U21" s="86"/>
      <c r="V21" s="87"/>
      <c r="W21" s="62"/>
      <c r="X21" s="133" t="s">
        <v>14</v>
      </c>
      <c r="Y21" s="134"/>
      <c r="Z21" s="134"/>
      <c r="AA21" s="134"/>
      <c r="AB21" s="134"/>
      <c r="AC21" s="134"/>
      <c r="AD21" s="135"/>
      <c r="AE21" s="86"/>
      <c r="AF21" s="87"/>
      <c r="AG21" s="62"/>
      <c r="AH21" s="133" t="s">
        <v>15</v>
      </c>
      <c r="AI21" s="134"/>
      <c r="AJ21" s="134"/>
      <c r="AK21" s="134"/>
      <c r="AL21" s="134"/>
      <c r="AM21" s="134"/>
      <c r="AN21" s="135"/>
      <c r="AO21" s="45"/>
      <c r="AP21" s="6"/>
      <c r="AR21" s="22" t="s">
        <v>51</v>
      </c>
      <c r="AS21" s="25"/>
      <c r="AT21" s="26"/>
      <c r="AU21" s="27"/>
      <c r="AZ21" s="6">
        <v>8.5</v>
      </c>
    </row>
    <row r="22" spans="2:52" s="6" customFormat="1" ht="15.95" customHeight="1">
      <c r="B22" s="63"/>
      <c r="C22" s="60"/>
      <c r="D22" s="107" t="s">
        <v>0</v>
      </c>
      <c r="E22" s="107" t="s">
        <v>1</v>
      </c>
      <c r="F22" s="107" t="s">
        <v>2</v>
      </c>
      <c r="G22" s="107" t="s">
        <v>3</v>
      </c>
      <c r="H22" s="107" t="s">
        <v>2</v>
      </c>
      <c r="I22" s="107" t="s">
        <v>4</v>
      </c>
      <c r="J22" s="107" t="s">
        <v>0</v>
      </c>
      <c r="K22" s="81"/>
      <c r="L22" s="82"/>
      <c r="M22" s="60"/>
      <c r="N22" s="107" t="s">
        <v>0</v>
      </c>
      <c r="O22" s="107" t="s">
        <v>1</v>
      </c>
      <c r="P22" s="107" t="s">
        <v>2</v>
      </c>
      <c r="Q22" s="107" t="s">
        <v>3</v>
      </c>
      <c r="R22" s="107" t="s">
        <v>2</v>
      </c>
      <c r="S22" s="107" t="s">
        <v>4</v>
      </c>
      <c r="T22" s="107" t="s">
        <v>0</v>
      </c>
      <c r="U22" s="81"/>
      <c r="V22" s="82"/>
      <c r="W22" s="60"/>
      <c r="X22" s="107" t="s">
        <v>0</v>
      </c>
      <c r="Y22" s="107" t="s">
        <v>1</v>
      </c>
      <c r="Z22" s="107" t="s">
        <v>2</v>
      </c>
      <c r="AA22" s="107" t="s">
        <v>3</v>
      </c>
      <c r="AB22" s="107" t="s">
        <v>2</v>
      </c>
      <c r="AC22" s="107" t="s">
        <v>4</v>
      </c>
      <c r="AD22" s="107" t="s">
        <v>0</v>
      </c>
      <c r="AE22" s="81"/>
      <c r="AF22" s="82"/>
      <c r="AG22" s="60"/>
      <c r="AH22" s="107" t="s">
        <v>0</v>
      </c>
      <c r="AI22" s="107" t="s">
        <v>1</v>
      </c>
      <c r="AJ22" s="107" t="s">
        <v>2</v>
      </c>
      <c r="AK22" s="107" t="s">
        <v>3</v>
      </c>
      <c r="AL22" s="107" t="s">
        <v>2</v>
      </c>
      <c r="AM22" s="107" t="s">
        <v>4</v>
      </c>
      <c r="AN22" s="107" t="s">
        <v>0</v>
      </c>
      <c r="AO22" s="44"/>
      <c r="AP22" s="3"/>
      <c r="AR22" s="23" t="s">
        <v>44</v>
      </c>
      <c r="AS22" s="28"/>
      <c r="AT22" s="29"/>
      <c r="AU22" s="30"/>
      <c r="AZ22" s="6">
        <v>9</v>
      </c>
    </row>
    <row r="23" spans="2:52" s="3" customFormat="1" ht="15.95" customHeight="1">
      <c r="B23" s="64"/>
      <c r="C23" s="60"/>
      <c r="D23" s="51" t="str">
        <f>IF(AND(YEAR(FebSun1)=$A$1,MONTH(FebSun1)=2),FebSun1,"")</f>
        <v/>
      </c>
      <c r="E23" s="51">
        <f>IF(AND(YEAR(FebSun1+1)=$A$1,MONTH(FebSun1+1)=2),FebSun1+1,"")</f>
        <v>42401</v>
      </c>
      <c r="F23" s="51">
        <f>IF(AND(YEAR(FebSun1+2)=$A$1,MONTH(FebSun1+2)=2),FebSun1+2,"")</f>
        <v>42402</v>
      </c>
      <c r="G23" s="51">
        <f>IF(AND(YEAR(FebSun1+3)=$A$1,MONTH(FebSun1+3)=2),FebSun1+3,"")</f>
        <v>42403</v>
      </c>
      <c r="H23" s="51">
        <f>IF(AND(YEAR(FebSun1+4)=$A$1,MONTH(FebSun1+4)=2),FebSun1+4,"")</f>
        <v>42404</v>
      </c>
      <c r="I23" s="51">
        <f>IF(AND(YEAR(FebSun1+5)=$A$1,MONTH(FebSun1+5)=2),FebSun1+5,"")</f>
        <v>42405</v>
      </c>
      <c r="J23" s="51">
        <f>IF(AND(YEAR(FebSun1+6)=$A$1,MONTH(FebSun1+6)=2),FebSun1+6,"")</f>
        <v>42406</v>
      </c>
      <c r="K23" s="49"/>
      <c r="L23" s="16"/>
      <c r="M23" s="60"/>
      <c r="N23" s="51">
        <f>IF(AND(YEAR(MaySun1)=$A$1,MONTH(MaySun1)=5),MaySun1,"")</f>
        <v>42491</v>
      </c>
      <c r="O23" s="51">
        <f>IF(AND(YEAR(MaySun1+1)=$A$1,MONTH(MaySun1+1)=5),MaySun1+1,"")</f>
        <v>42492</v>
      </c>
      <c r="P23" s="51">
        <f>IF(AND(YEAR(MaySun1+2)=$A$1,MONTH(MaySun1+2)=5),MaySun1+2,"")</f>
        <v>42493</v>
      </c>
      <c r="Q23" s="51">
        <f>IF(AND(YEAR(MaySun1+3)=$A$1,MONTH(MaySun1+3)=5),MaySun1+3,"")</f>
        <v>42494</v>
      </c>
      <c r="R23" s="51">
        <f>IF(AND(YEAR(MaySun1+4)=$A$1,MONTH(MaySun1+4)=5),MaySun1+4,"")</f>
        <v>42495</v>
      </c>
      <c r="S23" s="51">
        <f>IF(AND(YEAR(MaySun1+5)=$A$1,MONTH(MaySun1+5)=5),MaySun1+5,"")</f>
        <v>42496</v>
      </c>
      <c r="T23" s="51">
        <f>IF(AND(YEAR(MaySun1+6)=$A$1,MONTH(MaySun1+6)=5),MaySun1+6,"")</f>
        <v>42497</v>
      </c>
      <c r="U23" s="49"/>
      <c r="V23" s="16"/>
      <c r="W23" s="60"/>
      <c r="X23" s="51" t="str">
        <f>IF(AND(YEAR(AugSun1)=$A$1,MONTH(AugSun1)=8),AugSun1,"")</f>
        <v/>
      </c>
      <c r="Y23" s="51">
        <f>IF(AND(YEAR(AugSun1+1)=$A$1,MONTH(AugSun1+1)=8),AugSun1+1,"")</f>
        <v>42583</v>
      </c>
      <c r="Z23" s="51">
        <f>IF(AND(YEAR(AugSun1+2)=$A$1,MONTH(AugSun1+2)=8),AugSun1+2,"")</f>
        <v>42584</v>
      </c>
      <c r="AA23" s="51">
        <f>IF(AND(YEAR(AugSun1+3)=$A$1,MONTH(AugSun1+3)=8),AugSun1+3,"")</f>
        <v>42585</v>
      </c>
      <c r="AB23" s="51">
        <f>IF(AND(YEAR(AugSun1+4)=$A$1,MONTH(AugSun1+4)=8),AugSun1+4,"")</f>
        <v>42586</v>
      </c>
      <c r="AC23" s="51">
        <f>IF(AND(YEAR(AugSun1+5)=$A$1,MONTH(AugSun1+5)=8),AugSun1+5,"")</f>
        <v>42587</v>
      </c>
      <c r="AD23" s="51">
        <f>IF(AND(YEAR(AugSun1+6)=$A$1,MONTH(AugSun1+6)=8),AugSun1+6,"")</f>
        <v>42588</v>
      </c>
      <c r="AE23" s="49"/>
      <c r="AF23" s="16"/>
      <c r="AG23" s="60"/>
      <c r="AH23" s="51" t="str">
        <f>IF(AND(YEAR(NovSun1)=$A$1,MONTH(NovSun1)=11),NovSun1,"")</f>
        <v/>
      </c>
      <c r="AI23" s="51" t="str">
        <f>IF(AND(YEAR(NovSun1+1)=$A$1,MONTH(NovSun1+1)=11),NovSun1+1,"")</f>
        <v/>
      </c>
      <c r="AJ23" s="51">
        <f>IF(AND(YEAR(NovSun1+2)=$A$1,MONTH(NovSun1+2)=11),NovSun1+2,"")</f>
        <v>42675</v>
      </c>
      <c r="AK23" s="51">
        <f>IF(AND(YEAR(NovSun1+3)=$A$1,MONTH(NovSun1+3)=11),NovSun1+3,"")</f>
        <v>42676</v>
      </c>
      <c r="AL23" s="51">
        <f>IF(AND(YEAR(NovSun1+4)=$A$1,MONTH(NovSun1+4)=11),NovSun1+4,"")</f>
        <v>42677</v>
      </c>
      <c r="AM23" s="51">
        <f>IF(AND(YEAR(NovSun1+5)=$A$1,MONTH(NovSun1+5)=11),NovSun1+5,"")</f>
        <v>42678</v>
      </c>
      <c r="AN23" s="51">
        <f>IF(AND(YEAR(NovSun1+6)=$A$1,MONTH(NovSun1+6)=11),NovSun1+6,"")</f>
        <v>42679</v>
      </c>
      <c r="AO23" s="44"/>
      <c r="AP23" s="6"/>
      <c r="AR23" s="24">
        <f>A12</f>
        <v>0</v>
      </c>
      <c r="AS23" s="31"/>
      <c r="AT23" s="32"/>
      <c r="AU23" s="33"/>
      <c r="AZ23" s="6">
        <v>9.5</v>
      </c>
    </row>
    <row r="24" spans="2:52" s="6" customFormat="1" ht="15.95" customHeight="1">
      <c r="B24" s="63"/>
      <c r="C24" s="62"/>
      <c r="D24" s="52"/>
      <c r="E24" s="52"/>
      <c r="F24" s="52"/>
      <c r="G24" s="52"/>
      <c r="H24" s="52"/>
      <c r="I24" s="52"/>
      <c r="J24" s="52"/>
      <c r="K24" s="83"/>
      <c r="L24" s="84"/>
      <c r="M24" s="62"/>
      <c r="N24" s="52"/>
      <c r="O24" s="52"/>
      <c r="P24" s="52"/>
      <c r="Q24" s="52"/>
      <c r="R24" s="52"/>
      <c r="S24" s="52"/>
      <c r="T24" s="52"/>
      <c r="U24" s="83"/>
      <c r="V24" s="84"/>
      <c r="W24" s="62"/>
      <c r="X24" s="52"/>
      <c r="Y24" s="52"/>
      <c r="Z24" s="52"/>
      <c r="AA24" s="52"/>
      <c r="AB24" s="52"/>
      <c r="AC24" s="52"/>
      <c r="AD24" s="52"/>
      <c r="AE24" s="83"/>
      <c r="AF24" s="84"/>
      <c r="AG24" s="62"/>
      <c r="AH24" s="52"/>
      <c r="AI24" s="52"/>
      <c r="AJ24" s="52"/>
      <c r="AK24" s="52"/>
      <c r="AL24" s="52"/>
      <c r="AM24" s="52"/>
      <c r="AN24" s="52"/>
      <c r="AO24" s="45"/>
      <c r="AP24" s="3"/>
      <c r="AR24" s="3"/>
      <c r="AS24" s="3"/>
      <c r="AT24" s="3"/>
      <c r="AU24" s="3"/>
      <c r="AZ24" s="18">
        <v>10</v>
      </c>
    </row>
    <row r="25" spans="2:52" s="3" customFormat="1" ht="15.95" customHeight="1" thickBot="1">
      <c r="B25" s="64"/>
      <c r="C25" s="60"/>
      <c r="D25" s="51">
        <f>IF(AND(YEAR(FebSun1+7)=$A$1,MONTH(FebSun1+7)=2),FebSun1+7,"")</f>
        <v>42407</v>
      </c>
      <c r="E25" s="51">
        <f>IF(AND(YEAR(FebSun1+8)=$A$1,MONTH(FebSun1+8)=2),FebSun1+8,"")</f>
        <v>42408</v>
      </c>
      <c r="F25" s="51">
        <f>IF(AND(YEAR(FebSun1+9)=$A$1,MONTH(FebSun1+9)=2),FebSun1+9,"")</f>
        <v>42409</v>
      </c>
      <c r="G25" s="51">
        <f>IF(AND(YEAR(FebSun1+10)=$A$1,MONTH(FebSun1+10)=2),FebSun1+10,"")</f>
        <v>42410</v>
      </c>
      <c r="H25" s="51">
        <f>IF(AND(YEAR(FebSun1+11)=$A$1,MONTH(FebSun1+11)=2),FebSun1+11,"")</f>
        <v>42411</v>
      </c>
      <c r="I25" s="51">
        <f>IF(AND(YEAR(FebSun1+12)=$A$1,MONTH(FebSun1+12)=2),FebSun1+12,"")</f>
        <v>42412</v>
      </c>
      <c r="J25" s="51">
        <f>IF(AND(YEAR(FebSun1+13)=$A$1,MONTH(FebSun1+13)=2),FebSun1+13,"")</f>
        <v>42413</v>
      </c>
      <c r="K25" s="49"/>
      <c r="L25" s="16"/>
      <c r="M25" s="60"/>
      <c r="N25" s="51">
        <f>IF(AND(YEAR(MaySun1+7)=$A$1,MONTH(MaySun1+7)=5),MaySun1+7,"")</f>
        <v>42498</v>
      </c>
      <c r="O25" s="51">
        <f>IF(AND(YEAR(MaySun1+8)=$A$1,MONTH(MaySun1+8)=5),MaySun1+8,"")</f>
        <v>42499</v>
      </c>
      <c r="P25" s="51">
        <f>IF(AND(YEAR(MaySun1+9)=$A$1,MONTH(MaySun1+9)=5),MaySun1+9,"")</f>
        <v>42500</v>
      </c>
      <c r="Q25" s="51">
        <f>IF(AND(YEAR(MaySun1+10)=$A$1,MONTH(MaySun1+10)=5),MaySun1+10,"")</f>
        <v>42501</v>
      </c>
      <c r="R25" s="51">
        <f>IF(AND(YEAR(MaySun1+11)=$A$1,MONTH(MaySun1+11)=5),MaySun1+11,"")</f>
        <v>42502</v>
      </c>
      <c r="S25" s="51">
        <f>IF(AND(YEAR(MaySun1+12)=$A$1,MONTH(MaySun1+12)=5),MaySun1+12,"")</f>
        <v>42503</v>
      </c>
      <c r="T25" s="51">
        <f>IF(AND(YEAR(MaySun1+13)=$A$1,MONTH(MaySun1+13)=5),MaySun1+13,"")</f>
        <v>42504</v>
      </c>
      <c r="U25" s="49"/>
      <c r="V25" s="16"/>
      <c r="W25" s="60"/>
      <c r="X25" s="51">
        <f>IF(AND(YEAR(AugSun1+7)=$A$1,MONTH(AugSun1+7)=8),AugSun1+7,"")</f>
        <v>42589</v>
      </c>
      <c r="Y25" s="51">
        <f>IF(AND(YEAR(AugSun1+8)=$A$1,MONTH(AugSun1+8)=8),AugSun1+8,"")</f>
        <v>42590</v>
      </c>
      <c r="Z25" s="51">
        <f>IF(AND(YEAR(AugSun1+9)=$A$1,MONTH(AugSun1+9)=8),AugSun1+9,"")</f>
        <v>42591</v>
      </c>
      <c r="AA25" s="51">
        <f>IF(AND(YEAR(AugSun1+10)=$A$1,MONTH(AugSun1+10)=8),AugSun1+10,"")</f>
        <v>42592</v>
      </c>
      <c r="AB25" s="51">
        <f>IF(AND(YEAR(AugSun1+11)=$A$1,MONTH(AugSun1+11)=8),AugSun1+11,"")</f>
        <v>42593</v>
      </c>
      <c r="AC25" s="51">
        <f>IF(AND(YEAR(AugSun1+12)=$A$1,MONTH(AugSun1+12)=8),AugSun1+12,"")</f>
        <v>42594</v>
      </c>
      <c r="AD25" s="51">
        <f>IF(AND(YEAR(AugSun1+13)=$A$1,MONTH(AugSun1+13)=8),AugSun1+13,"")</f>
        <v>42595</v>
      </c>
      <c r="AE25" s="49"/>
      <c r="AF25" s="16"/>
      <c r="AG25" s="60"/>
      <c r="AH25" s="51">
        <f>IF(AND(YEAR(NovSun1+7)=$A$1,MONTH(NovSun1+7)=11),NovSun1+7,"")</f>
        <v>42680</v>
      </c>
      <c r="AI25" s="51">
        <f>IF(AND(YEAR(NovSun1+8)=$A$1,MONTH(NovSun1+8)=11),NovSun1+8,"")</f>
        <v>42681</v>
      </c>
      <c r="AJ25" s="51">
        <f>IF(AND(YEAR(NovSun1+9)=$A$1,MONTH(NovSun1+9)=11),NovSun1+9,"")</f>
        <v>42682</v>
      </c>
      <c r="AK25" s="51">
        <f>IF(AND(YEAR(NovSun1+10)=$A$1,MONTH(NovSun1+10)=11),NovSun1+10,"")</f>
        <v>42683</v>
      </c>
      <c r="AL25" s="51">
        <f>IF(AND(YEAR(NovSun1+11)=$A$1,MONTH(NovSun1+11)=11),NovSun1+11,"")</f>
        <v>42684</v>
      </c>
      <c r="AM25" s="51">
        <f>IF(AND(YEAR(NovSun1+12)=$A$1,MONTH(NovSun1+12)=11),NovSun1+12,"")</f>
        <v>42685</v>
      </c>
      <c r="AN25" s="51">
        <f>IF(AND(YEAR(NovSun1+13)=$A$1,MONTH(NovSun1+13)=11),NovSun1+13,"")</f>
        <v>42686</v>
      </c>
      <c r="AO25" s="44"/>
      <c r="AP25" s="6"/>
      <c r="AR25" s="50" t="s">
        <v>40</v>
      </c>
      <c r="AS25" s="4">
        <v>1</v>
      </c>
      <c r="AT25" s="125" t="s">
        <v>28</v>
      </c>
      <c r="AU25" s="126"/>
      <c r="AZ25" s="6">
        <v>10.5</v>
      </c>
    </row>
    <row r="26" spans="2:52" s="6" customFormat="1" ht="15.95" customHeight="1" thickBot="1">
      <c r="B26" s="63"/>
      <c r="C26" s="62"/>
      <c r="D26" s="52"/>
      <c r="E26" s="52"/>
      <c r="F26" s="52"/>
      <c r="G26" s="52"/>
      <c r="H26" s="52"/>
      <c r="I26" s="52"/>
      <c r="J26" s="52"/>
      <c r="K26" s="83"/>
      <c r="L26" s="84"/>
      <c r="M26" s="62"/>
      <c r="N26" s="52"/>
      <c r="O26" s="52"/>
      <c r="P26" s="52"/>
      <c r="Q26" s="52"/>
      <c r="R26" s="52"/>
      <c r="S26" s="52"/>
      <c r="T26" s="52"/>
      <c r="U26" s="83"/>
      <c r="V26" s="84"/>
      <c r="W26" s="62"/>
      <c r="X26" s="52"/>
      <c r="Y26" s="52"/>
      <c r="Z26" s="52"/>
      <c r="AA26" s="52"/>
      <c r="AB26" s="52"/>
      <c r="AC26" s="52"/>
      <c r="AD26" s="52"/>
      <c r="AE26" s="83"/>
      <c r="AF26" s="84"/>
      <c r="AG26" s="62"/>
      <c r="AH26" s="52"/>
      <c r="AI26" s="52"/>
      <c r="AJ26" s="52"/>
      <c r="AK26" s="52"/>
      <c r="AL26" s="52"/>
      <c r="AM26" s="52"/>
      <c r="AN26" s="52"/>
      <c r="AO26" s="45"/>
      <c r="AP26" s="3"/>
      <c r="AR26" s="15">
        <f>COUNTIF(D7:J7,"NC")+COUNTIF(D9:J9,"NC")+COUNTIF(D11:J11,"NC")+COUNTIF(D13:J13,"NC")+COUNTIF(D17:J17,"NC")+COUNTIF(D24:J24,"NC")+COUNTIF(D26:J26,"NC")+COUNTIF(D28:J28,"NC")+COUNTIF(D30:J30,"NC")+COUNTIF(D32:J32,"NC")+COUNTIF(D43:J43,"NC")+COUNTIF(D45:J45,"NC")+COUNTIF(D47:J47,"NC")+COUNTIF(D49:J49,"NC")+COUNTIF(D51:J51,"NC")+COUNTIF(N7:T7,"NC")+COUNTIF(N9:T9,"NC")+COUNTIF(N11:T11,"NC")+COUNTIF(N13:T13,"NC")+COUNTIF(N17:T17,"NC")+COUNTIF(N24:T24,"NC")+COUNTIF(N26:T26,"NC")+COUNTIF(N28:T28,"NC")+COUNTIF(N30:T30,"NC")+COUNTIF(N34:T34,"NC")+COUNTIF(N43:T43,"NC")+COUNTIF(N45:T45,"NC")+COUNTIF(N47:T47,"NC")+COUNTIF(N49:T49,"NC")+COUNTIF(N51:T51,"NC")+COUNTIF(X7:AD7,"NC")+COUNTIF(X9:AD9,"NC")+COUNTIF(X11:AD11,"NC")+COUNTIF(X13:AD13,"NC")+COUNTIF(X17:AD17,"NC")+COUNTIF(X24:AD24,"NC")+COUNTIF(X26:AD26,"NC")+COUNTIF(X28:AD28,"NC")+COUNTIF(X30:AD30,"NC")+COUNTIF(X34:AD34,"NC")+COUNTIF(X43:AD43,"NC")+COUNTIF(X45:AD45,"NC")+COUNTIF(X47:AD47,"NC")+COUNTIF(X49:AD49,"NC")+COUNTIF(X51:AD51,"NC")+COUNTIF(AH7:AN7,"NC")+COUNTIF(AH9:AN9,"NC")+COUNTIF(AH11:AN11,"NC")+COUNTIF(AH13:AN13,"NC")+COUNTIF(AH17:AN17,"NC")+COUNTIF(AH24:AN24,"NC")+COUNTIF(AH26:AN26,"NC")+COUNTIF(AH28:AN28,"NC")+COUNTIF(AH30:AN30,"NC")+COUNTIF(AH34:AN34,"NC")+COUNTIF(AH43:AN43,"NC")+COUNTIF(AH45:AN45,"NC")+COUNTIF(AH47:AN47,"NC")+COUNTIF(AH49:AN49,"NC")+COUNTIF(AH51:AN51,"NC")+COUNTIF(D41:J41,"NC")+COUNTIF(N41:T41,"NC")+COUNTIF(X41:AD41,"NC")+COUNTIF(AH41:AN41,"NC")</f>
        <v>0</v>
      </c>
      <c r="AS26" s="14">
        <v>2</v>
      </c>
      <c r="AT26" s="121" t="s">
        <v>29</v>
      </c>
      <c r="AU26" s="122"/>
      <c r="AZ26" s="6">
        <v>11</v>
      </c>
    </row>
    <row r="27" spans="2:52" s="3" customFormat="1" ht="15.95" customHeight="1">
      <c r="B27" s="64"/>
      <c r="C27" s="60"/>
      <c r="D27" s="51">
        <f>IF(AND(YEAR(FebSun1+14)=$A$1,MONTH(FebSun1+14)=2),FebSun1+14,"")</f>
        <v>42414</v>
      </c>
      <c r="E27" s="51">
        <f>IF(AND(YEAR(FebSun1+15)=$A$1,MONTH(FebSun1+15)=2),FebSun1+15,"")</f>
        <v>42415</v>
      </c>
      <c r="F27" s="51">
        <f>IF(AND(YEAR(FebSun1+16)=$A$1,MONTH(FebSun1+16)=2),FebSun1+16,"")</f>
        <v>42416</v>
      </c>
      <c r="G27" s="51">
        <f>IF(AND(YEAR(FebSun1+17)=$A$1,MONTH(FebSun1+17)=2),FebSun1+17,"")</f>
        <v>42417</v>
      </c>
      <c r="H27" s="51">
        <f>IF(AND(YEAR(FebSun1+18)=$A$1,MONTH(FebSun1+18)=2),FebSun1+18,"")</f>
        <v>42418</v>
      </c>
      <c r="I27" s="51">
        <f>IF(AND(YEAR(FebSun1+19)=$A$1,MONTH(FebSun1+19)=2),FebSun1+19,"")</f>
        <v>42419</v>
      </c>
      <c r="J27" s="51">
        <f>IF(AND(YEAR(FebSun1+20)=$A$1,MONTH(FebSun1+20)=2),FebSun1+20,"")</f>
        <v>42420</v>
      </c>
      <c r="K27" s="49"/>
      <c r="L27" s="16"/>
      <c r="M27" s="60"/>
      <c r="N27" s="51">
        <f>IF(AND(YEAR(MaySun1+14)=$A$1,MONTH(MaySun1+14)=5),MaySun1+14,"")</f>
        <v>42505</v>
      </c>
      <c r="O27" s="51">
        <f>IF(AND(YEAR(MaySun1+15)=$A$1,MONTH(MaySun1+15)=5),MaySun1+15,"")</f>
        <v>42506</v>
      </c>
      <c r="P27" s="51">
        <f>IF(AND(YEAR(MaySun1+16)=$A$1,MONTH(MaySun1+16)=5),MaySun1+16,"")</f>
        <v>42507</v>
      </c>
      <c r="Q27" s="51">
        <f>IF(AND(YEAR(MaySun1+17)=$A$1,MONTH(MaySun1+17)=5),MaySun1+17,"")</f>
        <v>42508</v>
      </c>
      <c r="R27" s="51">
        <f>IF(AND(YEAR(MaySun1+18)=$A$1,MONTH(MaySun1+18)=5),MaySun1+18,"")</f>
        <v>42509</v>
      </c>
      <c r="S27" s="51">
        <f>IF(AND(YEAR(MaySun1+19)=$A$1,MONTH(MaySun1+19)=5),MaySun1+19,"")</f>
        <v>42510</v>
      </c>
      <c r="T27" s="51">
        <f>IF(AND(YEAR(MaySun1+20)=$A$1,MONTH(MaySun1+20)=5),MaySun1+20,"")</f>
        <v>42511</v>
      </c>
      <c r="U27" s="49"/>
      <c r="V27" s="16"/>
      <c r="W27" s="60"/>
      <c r="X27" s="51">
        <f>IF(AND(YEAR(AugSun1+14)=$A$1,MONTH(AugSun1+14)=8),AugSun1+14,"")</f>
        <v>42596</v>
      </c>
      <c r="Y27" s="51">
        <f>IF(AND(YEAR(AugSun1+15)=$A$1,MONTH(AugSun1+15)=8),AugSun1+15,"")</f>
        <v>42597</v>
      </c>
      <c r="Z27" s="51">
        <f>IF(AND(YEAR(AugSun1+16)=$A$1,MONTH(AugSun1+16)=8),AugSun1+16,"")</f>
        <v>42598</v>
      </c>
      <c r="AA27" s="51">
        <f>IF(AND(YEAR(AugSun1+17)=$A$1,MONTH(AugSun1+17)=8),AugSun1+17,"")</f>
        <v>42599</v>
      </c>
      <c r="AB27" s="51">
        <f>IF(AND(YEAR(AugSun1+18)=$A$1,MONTH(AugSun1+18)=8),AugSun1+18,"")</f>
        <v>42600</v>
      </c>
      <c r="AC27" s="51">
        <f>IF(AND(YEAR(AugSun1+19)=$A$1,MONTH(AugSun1+19)=8),AugSun1+19,"")</f>
        <v>42601</v>
      </c>
      <c r="AD27" s="51">
        <f>IF(AND(YEAR(AugSun1+20)=$A$1,MONTH(AugSun1+20)=8),AugSun1+20,"")</f>
        <v>42602</v>
      </c>
      <c r="AE27" s="49"/>
      <c r="AF27" s="16"/>
      <c r="AG27" s="60"/>
      <c r="AH27" s="51">
        <f>IF(AND(YEAR(NovSun1+14)=$A$1,MONTH(NovSun1+14)=11),NovSun1+14,"")</f>
        <v>42687</v>
      </c>
      <c r="AI27" s="51">
        <f>IF(AND(YEAR(NovSun1+15)=$A$1,MONTH(NovSun1+15)=11),NovSun1+15,"")</f>
        <v>42688</v>
      </c>
      <c r="AJ27" s="51">
        <f>IF(AND(YEAR(NovSun1+16)=$A$1,MONTH(NovSun1+16)=11),NovSun1+16,"")</f>
        <v>42689</v>
      </c>
      <c r="AK27" s="51">
        <f>IF(AND(YEAR(NovSun1+17)=$A$1,MONTH(NovSun1+17)=11),NovSun1+17,"")</f>
        <v>42690</v>
      </c>
      <c r="AL27" s="51">
        <f>IF(AND(YEAR(NovSun1+18)=$A$1,MONTH(NovSun1+18)=11),NovSun1+18,"")</f>
        <v>42691</v>
      </c>
      <c r="AM27" s="51">
        <f>IF(AND(YEAR(NovSun1+19)=$A$1,MONTH(NovSun1+19)=11),NovSun1+19,"")</f>
        <v>42692</v>
      </c>
      <c r="AN27" s="51">
        <f>IF(AND(YEAR(NovSun1+20)=$A$1,MONTH(NovSun1+20)=11),NovSun1+20,"")</f>
        <v>42693</v>
      </c>
      <c r="AO27" s="44"/>
      <c r="AP27" s="6"/>
      <c r="AR27" s="34"/>
      <c r="AS27" s="4">
        <v>3</v>
      </c>
      <c r="AT27" s="123" t="s">
        <v>30</v>
      </c>
      <c r="AU27" s="124"/>
      <c r="AZ27" s="6">
        <v>11.5</v>
      </c>
    </row>
    <row r="28" spans="2:52" s="6" customFormat="1" ht="15.95" customHeight="1">
      <c r="B28" s="63"/>
      <c r="C28" s="62"/>
      <c r="D28" s="52"/>
      <c r="E28" s="52"/>
      <c r="F28" s="52"/>
      <c r="G28" s="52"/>
      <c r="H28" s="52"/>
      <c r="I28" s="52"/>
      <c r="J28" s="52"/>
      <c r="K28" s="83"/>
      <c r="L28" s="84"/>
      <c r="M28" s="62"/>
      <c r="N28" s="52"/>
      <c r="O28" s="52"/>
      <c r="P28" s="52"/>
      <c r="Q28" s="52"/>
      <c r="R28" s="52"/>
      <c r="S28" s="52"/>
      <c r="T28" s="52"/>
      <c r="U28" s="83"/>
      <c r="V28" s="84"/>
      <c r="W28" s="62"/>
      <c r="X28" s="52"/>
      <c r="Y28" s="52"/>
      <c r="Z28" s="52"/>
      <c r="AA28" s="52"/>
      <c r="AB28" s="52"/>
      <c r="AC28" s="52"/>
      <c r="AD28" s="52"/>
      <c r="AE28" s="83"/>
      <c r="AF28" s="84"/>
      <c r="AG28" s="62"/>
      <c r="AH28" s="52"/>
      <c r="AI28" s="52"/>
      <c r="AJ28" s="52"/>
      <c r="AK28" s="52"/>
      <c r="AL28" s="52"/>
      <c r="AM28" s="52"/>
      <c r="AN28" s="52"/>
      <c r="AO28" s="45"/>
      <c r="AR28" s="3"/>
      <c r="AS28" s="3"/>
      <c r="AT28" s="3"/>
      <c r="AU28" s="3"/>
      <c r="AZ28" s="6">
        <v>12</v>
      </c>
    </row>
    <row r="29" spans="2:52" s="6" customFormat="1" ht="15.95" customHeight="1">
      <c r="B29" s="64"/>
      <c r="C29" s="60"/>
      <c r="D29" s="51">
        <f>IF(AND(YEAR(FebSun1+21)=$A$1,MONTH(FebSun1+21)=2),FebSun1+21,"")</f>
        <v>42421</v>
      </c>
      <c r="E29" s="51">
        <f>IF(AND(YEAR(FebSun1+22)=$A$1,MONTH(FebSun1+22)=2),FebSun1+22,"")</f>
        <v>42422</v>
      </c>
      <c r="F29" s="51">
        <f>IF(AND(YEAR(FebSun1+23)=$A$1,MONTH(FebSun1+23)=2),FebSun1+23,"")</f>
        <v>42423</v>
      </c>
      <c r="G29" s="51">
        <f>IF(AND(YEAR(FebSun1+24)=$A$1,MONTH(FebSun1+24)=2),FebSun1+24,"")</f>
        <v>42424</v>
      </c>
      <c r="H29" s="51">
        <f>IF(AND(YEAR(FebSun1+25)=$A$1,MONTH(FebSun1+25)=2),FebSun1+25,"")</f>
        <v>42425</v>
      </c>
      <c r="I29" s="51">
        <f>IF(AND(YEAR(FebSun1+26)=$A$1,MONTH(FebSun1+26)=2),FebSun1+26,"")</f>
        <v>42426</v>
      </c>
      <c r="J29" s="51">
        <f>IF(AND(YEAR(FebSun1+27)=$A$1,MONTH(FebSun1+27)=2),FebSun1+27,"")</f>
        <v>42427</v>
      </c>
      <c r="K29" s="49"/>
      <c r="L29" s="16"/>
      <c r="M29" s="60"/>
      <c r="N29" s="51">
        <f>IF(AND(YEAR(MaySun1+21)=$A$1,MONTH(MaySun1+21)=5),MaySun1+21,"")</f>
        <v>42512</v>
      </c>
      <c r="O29" s="51">
        <f>IF(AND(YEAR(MaySun1+22)=$A$1,MONTH(MaySun1+22)=5),MaySun1+22,"")</f>
        <v>42513</v>
      </c>
      <c r="P29" s="51">
        <f>IF(AND(YEAR(MaySun1+23)=$A$1,MONTH(MaySun1+23)=5),MaySun1+23,"")</f>
        <v>42514</v>
      </c>
      <c r="Q29" s="51">
        <f>IF(AND(YEAR(MaySun1+24)=$A$1,MONTH(MaySun1+24)=5),MaySun1+24,"")</f>
        <v>42515</v>
      </c>
      <c r="R29" s="51">
        <f>IF(AND(YEAR(MaySun1+25)=$A$1,MONTH(MaySun1+25)=5),MaySun1+25,"")</f>
        <v>42516</v>
      </c>
      <c r="S29" s="51">
        <f>IF(AND(YEAR(MaySun1+26)=$A$1,MONTH(MaySun1+26)=5),MaySun1+26,"")</f>
        <v>42517</v>
      </c>
      <c r="T29" s="51">
        <f>IF(AND(YEAR(MaySun1+27)=$A$1,MONTH(MaySun1+27)=5),MaySun1+27,"")</f>
        <v>42518</v>
      </c>
      <c r="U29" s="49"/>
      <c r="V29" s="16"/>
      <c r="W29" s="60"/>
      <c r="X29" s="51">
        <f>IF(AND(YEAR(AugSun1+21)=$A$1,MONTH(AugSun1+21)=8),AugSun1+21,"")</f>
        <v>42603</v>
      </c>
      <c r="Y29" s="51">
        <f>IF(AND(YEAR(AugSun1+22)=$A$1,MONTH(AugSun1+22)=8),AugSun1+22,"")</f>
        <v>42604</v>
      </c>
      <c r="Z29" s="51">
        <f>IF(AND(YEAR(AugSun1+23)=$A$1,MONTH(AugSun1+23)=8),AugSun1+23,"")</f>
        <v>42605</v>
      </c>
      <c r="AA29" s="51">
        <f>IF(AND(YEAR(AugSun1+24)=$A$1,MONTH(AugSun1+24)=8),AugSun1+24,"")</f>
        <v>42606</v>
      </c>
      <c r="AB29" s="51">
        <f>IF(AND(YEAR(AugSun1+25)=$A$1,MONTH(AugSun1+25)=8),AugSun1+25,"")</f>
        <v>42607</v>
      </c>
      <c r="AC29" s="51">
        <f>IF(AND(YEAR(AugSun1+26)=$A$1,MONTH(AugSun1+26)=8),AugSun1+26,"")</f>
        <v>42608</v>
      </c>
      <c r="AD29" s="51">
        <f>IF(AND(YEAR(AugSun1+27)=$A$1,MONTH(AugSun1+27)=8),AugSun1+27,"")</f>
        <v>42609</v>
      </c>
      <c r="AE29" s="49"/>
      <c r="AF29" s="16"/>
      <c r="AG29" s="60"/>
      <c r="AH29" s="51">
        <f>IF(AND(YEAR(NovSun1+21)=$A$1,MONTH(NovSun1+21)=11),NovSun1+21,"")</f>
        <v>42694</v>
      </c>
      <c r="AI29" s="51">
        <f>IF(AND(YEAR(NovSun1+22)=$A$1,MONTH(NovSun1+22)=11),NovSun1+22,"")</f>
        <v>42695</v>
      </c>
      <c r="AJ29" s="51">
        <f>IF(AND(YEAR(NovSun1+23)=$A$1,MONTH(NovSun1+23)=11),NovSun1+23,"")</f>
        <v>42696</v>
      </c>
      <c r="AK29" s="51">
        <f>IF(AND(YEAR(NovSun1+24)=$A$1,MONTH(NovSun1+24)=11),NovSun1+24,"")</f>
        <v>42697</v>
      </c>
      <c r="AL29" s="51">
        <f>IF(AND(YEAR(NovSun1+25)=$A$1,MONTH(NovSun1+25)=11),NovSun1+25,"")</f>
        <v>42698</v>
      </c>
      <c r="AM29" s="51">
        <f>IF(AND(YEAR(NovSun1+26)=$A$1,MONTH(NovSun1+26)=11),NovSun1+26,"")</f>
        <v>42699</v>
      </c>
      <c r="AN29" s="51">
        <f>IF(AND(YEAR(NovSun1+27)=$A$1,MONTH(NovSun1+27)=11),NovSun1+27,"")</f>
        <v>42700</v>
      </c>
      <c r="AO29" s="44"/>
      <c r="AZ29" s="18">
        <v>12.5</v>
      </c>
    </row>
    <row r="30" spans="2:52" s="6" customFormat="1" ht="15.95" customHeight="1">
      <c r="B30" s="64"/>
      <c r="C30" s="62"/>
      <c r="D30" s="52"/>
      <c r="E30" s="52"/>
      <c r="F30" s="52"/>
      <c r="G30" s="52"/>
      <c r="H30" s="52"/>
      <c r="I30" s="52"/>
      <c r="J30" s="52"/>
      <c r="K30" s="83"/>
      <c r="L30" s="84"/>
      <c r="M30" s="62"/>
      <c r="N30" s="52"/>
      <c r="O30" s="52"/>
      <c r="P30" s="52"/>
      <c r="Q30" s="52"/>
      <c r="R30" s="52"/>
      <c r="S30" s="52"/>
      <c r="T30" s="52"/>
      <c r="U30" s="83"/>
      <c r="V30" s="84"/>
      <c r="W30" s="62"/>
      <c r="X30" s="52"/>
      <c r="Y30" s="52"/>
      <c r="Z30" s="52"/>
      <c r="AA30" s="52"/>
      <c r="AB30" s="52"/>
      <c r="AC30" s="52"/>
      <c r="AD30" s="52"/>
      <c r="AE30" s="83"/>
      <c r="AF30" s="84"/>
      <c r="AG30" s="62"/>
      <c r="AH30" s="52"/>
      <c r="AI30" s="52"/>
      <c r="AJ30" s="52"/>
      <c r="AK30" s="52"/>
      <c r="AL30" s="52"/>
      <c r="AM30" s="52"/>
      <c r="AN30" s="52"/>
      <c r="AO30" s="45"/>
      <c r="AP30" s="3"/>
      <c r="AR30" s="3"/>
      <c r="AS30" s="3"/>
      <c r="AT30" s="3"/>
      <c r="AU30" s="3"/>
      <c r="AZ30" s="6">
        <v>13</v>
      </c>
    </row>
    <row r="31" spans="2:52" s="3" customFormat="1" ht="15.95" customHeight="1">
      <c r="B31" s="64"/>
      <c r="C31" s="62"/>
      <c r="D31" s="51">
        <f>IF(AND(YEAR(FebSun1+28)=$A$1,MONTH(FebSun1+28)=2),FebSun1+28,"")</f>
        <v>42428</v>
      </c>
      <c r="E31" s="51">
        <f>IF(AND(YEAR(FebSun1+29)=$A$1,MONTH(FebSun1+29)=2),FebSun1+29,"")</f>
        <v>42429</v>
      </c>
      <c r="F31" s="51" t="str">
        <f>IF(AND(YEAR(FebSun1+30)=$A$1,MONTH(FebSun1+30)=2),FebSun1+30,"")</f>
        <v/>
      </c>
      <c r="G31" s="51" t="str">
        <f>IF(AND(YEAR(FebSun1+31)=$A$1,MONTH(FebSun1+31)=2),FebSun1+31,"")</f>
        <v/>
      </c>
      <c r="H31" s="51" t="str">
        <f>IF(AND(YEAR(FebSun1+32)=$A$1,MONTH(FebSun1+32)=2),FebSun1+32,"")</f>
        <v/>
      </c>
      <c r="I31" s="51" t="str">
        <f>IF(AND(YEAR(FebSun1+33)=$A$1,MONTH(FebSun1+33)=2),FebSun1+33,"")</f>
        <v/>
      </c>
      <c r="J31" s="51" t="str">
        <f>IF(AND(YEAR(FebSun1+34)=$A$1,MONTH(FebSun1+34)=2),FebSun1+34,"")</f>
        <v/>
      </c>
      <c r="K31" s="49"/>
      <c r="L31" s="84"/>
      <c r="M31" s="62"/>
      <c r="N31" s="51">
        <f>IF(AND(YEAR(MaySun1+28)=$A$1,MONTH(MaySun1+28)=5),MaySun1+28,"")</f>
        <v>42519</v>
      </c>
      <c r="O31" s="51">
        <f>IF(AND(YEAR(MaySun1+29)=$A$1,MONTH(MaySun1+29)=5),MaySun1+29,"")</f>
        <v>42520</v>
      </c>
      <c r="P31" s="51">
        <f>IF(AND(YEAR(MaySun1+30)=$A$1,MONTH(MaySun1+30)=5),MaySun1+30,"")</f>
        <v>42521</v>
      </c>
      <c r="Q31" s="51" t="str">
        <f>IF(AND(YEAR(MaySun1+31)=$A$1,MONTH(MaySun1+31)=5),MaySun1+31,"")</f>
        <v/>
      </c>
      <c r="R31" s="51" t="str">
        <f>IF(AND(YEAR(MaySun1+32)=$A$1,MONTH(MaySun1+32)=5),MaySun1+32,"")</f>
        <v/>
      </c>
      <c r="S31" s="51" t="str">
        <f>IF(AND(YEAR(MaySun1+33)=$A$1,MONTH(MaySun1+33)=5),MaySun1+33,"")</f>
        <v/>
      </c>
      <c r="T31" s="51" t="str">
        <f>IF(AND(YEAR(MaySun1+34)=$A$1,MONTH(MaySun1+34)=5),MaySun1+34,"")</f>
        <v/>
      </c>
      <c r="U31" s="83"/>
      <c r="V31" s="84"/>
      <c r="W31" s="62"/>
      <c r="X31" s="51">
        <f>IF(AND(YEAR(AugSun1+28)=$A$1,MONTH(AugSun1+28)=8),AugSun1+28,"")</f>
        <v>42610</v>
      </c>
      <c r="Y31" s="51">
        <f>IF(AND(YEAR(AugSun1+29)=$A$1,MONTH(AugSun1+29)=8),AugSun1+29,"")</f>
        <v>42611</v>
      </c>
      <c r="Z31" s="51">
        <f>IF(AND(YEAR(AugSun1+30)=$A$1,MONTH(AugSun1+30)=8),AugSun1+30,"")</f>
        <v>42612</v>
      </c>
      <c r="AA31" s="51">
        <f>IF(AND(YEAR(AugSun1+31)=$A$1,MONTH(AugSun1+31)=8),AugSun1+31,"")</f>
        <v>42613</v>
      </c>
      <c r="AB31" s="51" t="str">
        <f>IF(AND(YEAR(AugSun1+32)=$A$1,MONTH(AugSun1+32)=8),AugSun1+32,"")</f>
        <v/>
      </c>
      <c r="AC31" s="51" t="str">
        <f>IF(AND(YEAR(AugSun1+33)=$A$1,MONTH(AugSun1+33)=8),AugSun1+33,"")</f>
        <v/>
      </c>
      <c r="AD31" s="51" t="str">
        <f>IF(AND(YEAR(AugSun1+34)=$A$1,MONTH(AugSun1+34)=8),AugSun1+34,"")</f>
        <v/>
      </c>
      <c r="AE31" s="83"/>
      <c r="AF31" s="84"/>
      <c r="AG31" s="62"/>
      <c r="AH31" s="51">
        <f>IF(AND(YEAR(NovSun1+28)=$A$1,MONTH(NovSun1+28)=11),NovSun1+28,"")</f>
        <v>42701</v>
      </c>
      <c r="AI31" s="51">
        <f>IF(AND(YEAR(NovSun1+29)=$A$1,MONTH(NovSun1+29)=11),NovSun1+29,"")</f>
        <v>42702</v>
      </c>
      <c r="AJ31" s="51">
        <f>IF(AND(YEAR(NovSun1+30)=$A$1,MONTH(NovSun1+30)=11),NovSun1+30,"")</f>
        <v>42703</v>
      </c>
      <c r="AK31" s="51">
        <f>IF(AND(YEAR(NovSun1+31)=$A$1,MONTH(NovSun1+31)=11),NovSun1+31,"")</f>
        <v>42704</v>
      </c>
      <c r="AL31" s="51" t="str">
        <f>IF(AND(YEAR(NovSun1+32)=$A$1,MONTH(NovSun1+32)=11),NovSun1+32,"")</f>
        <v/>
      </c>
      <c r="AM31" s="51" t="str">
        <f>IF(AND(YEAR(NovSun1+33)=$A$1,MONTH(NovSun1+33)=11),NovSun1+33,"")</f>
        <v/>
      </c>
      <c r="AN31" s="51" t="str">
        <f>IF(AND(YEAR(NovSun1+34)=$A$1,MONTH(NovSun1+34)=11),NovSun1+34,"")</f>
        <v/>
      </c>
      <c r="AO31" s="45"/>
      <c r="AP31" s="16"/>
      <c r="AR31" s="6"/>
      <c r="AS31" s="6"/>
      <c r="AT31" s="6"/>
      <c r="AU31" s="6"/>
      <c r="AZ31" s="6">
        <v>13.5</v>
      </c>
    </row>
    <row r="32" spans="1:52" s="3" customFormat="1" ht="15.95" customHeight="1">
      <c r="A32" s="6"/>
      <c r="B32" s="63"/>
      <c r="C32" s="62"/>
      <c r="D32" s="52"/>
      <c r="E32" s="52"/>
      <c r="F32" s="53"/>
      <c r="G32" s="53"/>
      <c r="H32" s="53"/>
      <c r="I32" s="53"/>
      <c r="J32" s="53"/>
      <c r="K32" s="55" t="s">
        <v>21</v>
      </c>
      <c r="L32" s="84"/>
      <c r="M32" s="62"/>
      <c r="N32" s="52"/>
      <c r="O32" s="52"/>
      <c r="P32" s="52"/>
      <c r="Q32" s="52"/>
      <c r="R32" s="52"/>
      <c r="S32" s="52"/>
      <c r="T32" s="52"/>
      <c r="U32" s="83"/>
      <c r="V32" s="84"/>
      <c r="W32" s="62"/>
      <c r="X32" s="52"/>
      <c r="Y32" s="52"/>
      <c r="Z32" s="52"/>
      <c r="AA32" s="52"/>
      <c r="AB32" s="52"/>
      <c r="AC32" s="52"/>
      <c r="AD32" s="52"/>
      <c r="AE32" s="83"/>
      <c r="AF32" s="84"/>
      <c r="AG32" s="62"/>
      <c r="AH32" s="52"/>
      <c r="AI32" s="52"/>
      <c r="AJ32" s="52"/>
      <c r="AK32" s="52"/>
      <c r="AL32" s="53"/>
      <c r="AM32" s="53"/>
      <c r="AN32" s="53"/>
      <c r="AO32" s="45"/>
      <c r="AP32" s="40"/>
      <c r="AQ32" s="16"/>
      <c r="AR32" s="12"/>
      <c r="AS32" s="6"/>
      <c r="AT32" s="6"/>
      <c r="AU32" s="6"/>
      <c r="AZ32" s="6">
        <v>14</v>
      </c>
    </row>
    <row r="33" spans="2:52" s="41" customFormat="1" ht="15.95" customHeight="1" thickBot="1">
      <c r="B33" s="64"/>
      <c r="C33" s="65" t="s">
        <v>35</v>
      </c>
      <c r="D33" s="110">
        <f>COUNTIF(D24:J24,"AC")+COUNTIF(D26:J26,"AC")+COUNTIF(D28:J28,"AC")+COUNTIF(D30:J30,"AC")+COUNTIF(D32:J32,"AC")</f>
        <v>0</v>
      </c>
      <c r="E33" s="111" t="s">
        <v>2</v>
      </c>
      <c r="F33" s="110">
        <f>COUNTIF(D24:J24,"T")+COUNTIF(D26:J26,"T")+COUNTIF(D28:J28,"T")+COUNTIF(D30:J30,"T")+COUNTIF(D32:J32,"T")</f>
        <v>0</v>
      </c>
      <c r="G33" s="111" t="s">
        <v>20</v>
      </c>
      <c r="H33" s="110">
        <f>COUNTIF(D24:J24,"MP")+COUNTIF(D26:J26,"MP")+COUNTIF(D28:J28,"MP")+COUNTIF(D30:J30,"MP")+COUNTIF(D32:J32,"MP")</f>
        <v>0</v>
      </c>
      <c r="I33" s="111" t="s">
        <v>22</v>
      </c>
      <c r="J33" s="110">
        <f>COUNTIF(D24:J24,"A")+COUNTIF(D26:J26,"A")+COUNTIF(D28:J28,"A")+COUNTIF(D30:J30,"A")+COUNTIF(D32:J32,"A")</f>
        <v>0</v>
      </c>
      <c r="K33" s="54">
        <f>SUM((F33*0.5)+(H33*0.5)+(J33))</f>
        <v>0</v>
      </c>
      <c r="L33" s="16"/>
      <c r="M33" s="60"/>
      <c r="N33" s="51" t="str">
        <f>IF(AND(YEAR(MaySun1+35)=$A$1,MONTH(MaySun1+35)=5),MaySun1+35,"")</f>
        <v/>
      </c>
      <c r="O33" s="51" t="str">
        <f>IF(AND(YEAR(MaySun1+36)=$A$1,MONTH(MaySun1+36)=5),MaySun1+36,"")</f>
        <v/>
      </c>
      <c r="P33" s="51" t="str">
        <f>IF(AND(YEAR(MaySun1+37)=$A$1,MONTH(MaySun1+37)=5),MaySun1+37,"")</f>
        <v/>
      </c>
      <c r="Q33" s="51" t="str">
        <f>IF(AND(YEAR(MaySun1+38)=$A$1,MONTH(MaySun1+38)=5),MaySun1+38,"")</f>
        <v/>
      </c>
      <c r="R33" s="51" t="str">
        <f>IF(AND(YEAR(MaySun1+39)=$A$1,MONTH(MaySun1+39)=5),MaySun1+39,"")</f>
        <v/>
      </c>
      <c r="S33" s="51" t="str">
        <f>IF(AND(YEAR(MaySun1+40)=$A$1,MONTH(MaySun1+40)=5),MaySun1+40,"")</f>
        <v/>
      </c>
      <c r="T33" s="51" t="str">
        <f>IF(AND(YEAR(MaySun1+41)=$A$1,MONTH(MaySun1+41)=5),MaySun1+41,"")</f>
        <v/>
      </c>
      <c r="U33" s="49"/>
      <c r="V33" s="16"/>
      <c r="W33" s="60"/>
      <c r="X33" s="51" t="str">
        <f>IF(AND(YEAR(AugSun1+35)=$A$1,MONTH(AugSun1+35)=8),AugSun1+35,"")</f>
        <v/>
      </c>
      <c r="Y33" s="51" t="str">
        <f>IF(AND(YEAR(AugSun1+36)=$A$1,MONTH(AugSun1+36)=8),AugSun1+36,"")</f>
        <v/>
      </c>
      <c r="Z33" s="51" t="str">
        <f>IF(AND(YEAR(AugSun1+37)=$A$1,MONTH(AugSun1+37)=8),AugSun1+37,"")</f>
        <v/>
      </c>
      <c r="AA33" s="51" t="str">
        <f>IF(AND(YEAR(AugSun1+38)=$A$1,MONTH(AugSun1+38)=8),AugSun1+38,"")</f>
        <v/>
      </c>
      <c r="AB33" s="51" t="str">
        <f>IF(AND(YEAR(AugSun1+39)=$A$1,MONTH(AugSun1+39)=8),AugSun1+39,"")</f>
        <v/>
      </c>
      <c r="AC33" s="51" t="str">
        <f>IF(AND(YEAR(AugSun1+40)=$A$1,MONTH(AugSun1+40)=8),AugSun1+40,"")</f>
        <v/>
      </c>
      <c r="AD33" s="51" t="str">
        <f>IF(AND(YEAR(AugSun1+41)=$A$1,MONTH(AugSun1+41)=8),AugSun1+41,"")</f>
        <v/>
      </c>
      <c r="AE33" s="49"/>
      <c r="AF33" s="16"/>
      <c r="AG33" s="60"/>
      <c r="AH33" s="51" t="str">
        <f>IF(AND(YEAR(NovSun1+35)=$A$1,MONTH(NovSun1+35)=11),NovSun1+35,"")</f>
        <v/>
      </c>
      <c r="AI33" s="51" t="str">
        <f>IF(AND(YEAR(NovSun1+36)=$A$1,MONTH(NovSun1+36)=11),NovSun1+36,"")</f>
        <v/>
      </c>
      <c r="AJ33" s="51" t="str">
        <f>IF(AND(YEAR(NovSun1+37)=$A$1,MONTH(NovSun1+37)=11),NovSun1+37,"")</f>
        <v/>
      </c>
      <c r="AK33" s="51" t="str">
        <f>IF(AND(YEAR(NovSun1+38)=$A$1,MONTH(NovSun1+38)=11),NovSun1+38,"")</f>
        <v/>
      </c>
      <c r="AL33" s="51" t="str">
        <f>IF(AND(YEAR(NovSun1+39)=$A$1,MONTH(NovSun1+39)=11),NovSun1+39,"")</f>
        <v/>
      </c>
      <c r="AM33" s="51" t="str">
        <f>IF(AND(YEAR(NovSun1+40)=$A$1,MONTH(NovSun1+40)=11),NovSun1+40,"")</f>
        <v/>
      </c>
      <c r="AN33" s="51" t="str">
        <f>IF(AND(YEAR(NovSun1+41)=$A$1,MONTH(NovSun1+41)=11),NovSun1+41,"")</f>
        <v/>
      </c>
      <c r="AO33" s="44"/>
      <c r="AP33" s="6"/>
      <c r="AQ33" s="40"/>
      <c r="AZ33" s="41">
        <v>14.5</v>
      </c>
    </row>
    <row r="34" spans="1:52" s="3" customFormat="1" ht="15.95" customHeight="1" thickTop="1">
      <c r="A34" s="6"/>
      <c r="B34" s="68"/>
      <c r="C34" s="69"/>
      <c r="D34" s="113"/>
      <c r="E34" s="113"/>
      <c r="F34" s="113"/>
      <c r="G34" s="113"/>
      <c r="H34" s="113"/>
      <c r="I34" s="113"/>
      <c r="J34" s="113"/>
      <c r="K34" s="40"/>
      <c r="L34" s="16"/>
      <c r="M34" s="62"/>
      <c r="N34" s="52"/>
      <c r="O34" s="53"/>
      <c r="P34" s="53"/>
      <c r="Q34" s="53"/>
      <c r="R34" s="53"/>
      <c r="S34" s="53"/>
      <c r="T34" s="53"/>
      <c r="U34" s="55" t="s">
        <v>21</v>
      </c>
      <c r="V34" s="16"/>
      <c r="W34" s="62"/>
      <c r="X34" s="52"/>
      <c r="Y34" s="52"/>
      <c r="Z34" s="53"/>
      <c r="AA34" s="53"/>
      <c r="AB34" s="53"/>
      <c r="AC34" s="53"/>
      <c r="AD34" s="53"/>
      <c r="AE34" s="55" t="s">
        <v>21</v>
      </c>
      <c r="AF34" s="16"/>
      <c r="AG34" s="62"/>
      <c r="AH34" s="53"/>
      <c r="AI34" s="53"/>
      <c r="AJ34" s="53"/>
      <c r="AK34" s="53"/>
      <c r="AL34" s="53"/>
      <c r="AM34" s="53"/>
      <c r="AN34" s="53"/>
      <c r="AO34" s="55" t="s">
        <v>21</v>
      </c>
      <c r="AQ34" s="6"/>
      <c r="AZ34" s="18">
        <v>15</v>
      </c>
    </row>
    <row r="35" spans="1:47" s="6" customFormat="1" ht="15.95" customHeight="1" thickBot="1">
      <c r="A35" s="3"/>
      <c r="B35" s="64"/>
      <c r="C35" s="70"/>
      <c r="D35" s="70"/>
      <c r="E35" s="70"/>
      <c r="F35" s="70"/>
      <c r="G35" s="70"/>
      <c r="H35" s="70"/>
      <c r="I35" s="70"/>
      <c r="J35" s="70"/>
      <c r="K35" s="40"/>
      <c r="L35" s="85"/>
      <c r="M35" s="65" t="s">
        <v>35</v>
      </c>
      <c r="N35" s="114">
        <f>COUNTIF(N24:T24,"AC")+COUNTIF(N26:T26,"AC")+COUNTIF(N28:T28,"AC")+COUNTIF(N30:T30,"AC")+COUNTIF(N32:T32,"AC")+COUNTIF(N34:T34,"AC")</f>
        <v>0</v>
      </c>
      <c r="O35" s="115" t="s">
        <v>2</v>
      </c>
      <c r="P35" s="114">
        <f>COUNTIF(N24:T24,"T")+COUNTIF(N26:T26,"T")+COUNTIF(N28:T28,"T")+COUNTIF(N30:T30,"T")+COUNTIF(N32:T32,"T")+COUNTIF(N34:T34,"T")</f>
        <v>0</v>
      </c>
      <c r="Q35" s="115" t="s">
        <v>20</v>
      </c>
      <c r="R35" s="114">
        <f>COUNTIF(N24:T24,"MP")+COUNTIF(N26:T26,"MP")+COUNTIF(N28:T28,"MP")+COUNTIF(N30:T30,"MP")+COUNTIF(N32:T32,"MP")+COUNTIF(N34:T34,"MP")</f>
        <v>0</v>
      </c>
      <c r="S35" s="115" t="s">
        <v>22</v>
      </c>
      <c r="T35" s="114">
        <f>COUNTIF(N24:T24,"A")+COUNTIF(N26:T26,"A")+COUNTIF(N28:T28,"A")+COUNTIF(N30:T30,"A")+COUNTIF(N32:T32,"A")+COUNTIF(N34:T34,"A")</f>
        <v>0</v>
      </c>
      <c r="U35" s="54">
        <f>SUM((P35*0.5)+(R35*0.5)+(T35))</f>
        <v>0</v>
      </c>
      <c r="V35" s="85"/>
      <c r="W35" s="65" t="s">
        <v>35</v>
      </c>
      <c r="X35" s="114">
        <f>COUNTIF(X24:AD24,"AC")+COUNTIF(X26:AD26,"AC")+COUNTIF(X28:AD28,"AC")+COUNTIF(X30:AD30,"AC")+COUNTIF(X32:AD32,"AC")+COUNTIF(X34:AD34,"AC")</f>
        <v>0</v>
      </c>
      <c r="Y35" s="115" t="s">
        <v>2</v>
      </c>
      <c r="Z35" s="114">
        <f>COUNTIF(X24:AD24,"T")+COUNTIF(X26:AD26,"T")+COUNTIF(X28:AD28,"T")+COUNTIF(X30:AD30,"T")+COUNTIF(X32:AD32,"T")+COUNTIF(X34:AD34,"T")</f>
        <v>0</v>
      </c>
      <c r="AA35" s="115" t="s">
        <v>20</v>
      </c>
      <c r="AB35" s="114">
        <f>COUNTIF(X24:AD24,"MP")+COUNTIF(X26:AD26,"MP")+COUNTIF(X28:AD28,"MP")+COUNTIF(X30:AD30,"MP")+COUNTIF(X32:AD32,"MP")+COUNTIF(X34:AD34,"MP")</f>
        <v>0</v>
      </c>
      <c r="AC35" s="115" t="s">
        <v>22</v>
      </c>
      <c r="AD35" s="114">
        <f>COUNTIF(X24:AD24,"A")+COUNTIF(X26:AD26,"A")+COUNTIF(X28:AD28,"A")+COUNTIF(X30:AD30,"A")+COUNTIF(X32:AD32,"A")+COUNTIF(X34:AD34,"A")</f>
        <v>0</v>
      </c>
      <c r="AE35" s="54">
        <f>SUM((Z35*0.5)+(AB35*0.5)+(AD35))</f>
        <v>0</v>
      </c>
      <c r="AF35" s="85"/>
      <c r="AG35" s="65" t="s">
        <v>35</v>
      </c>
      <c r="AH35" s="114">
        <f>COUNTIF(AH24:AN24,"AC")+COUNTIF(AH26:AN26,"AC")+COUNTIF(AH28:AN28,"AC")+COUNTIF(AH30:AN30,"AC")+COUNTIF(AH32:AN32,"AC")+COUNTIF(AH34:AN34,"AC")</f>
        <v>0</v>
      </c>
      <c r="AI35" s="115" t="s">
        <v>2</v>
      </c>
      <c r="AJ35" s="114">
        <f>COUNTIF(AH24:AN24,"T")+COUNTIF(AH26:AN26,"T")+COUNTIF(AH28:AN28,"T")+COUNTIF(AH30:AN30,"T")+COUNTIF(AH32:AN32,"T")+COUNTIF(AH34:AN34,"T")</f>
        <v>0</v>
      </c>
      <c r="AK35" s="115" t="s">
        <v>20</v>
      </c>
      <c r="AL35" s="114">
        <f>COUNTIF(AH24:AN24,"MP")+COUNTIF(AH26:AN26,"MP")+COUNTIF(AH28:AN28,"MP")+COUNTIF(AH30:AN30,"MP")+COUNTIF(AH32:AN32,"MP")+COUNTIF(AH34:AN34,"MP")</f>
        <v>0</v>
      </c>
      <c r="AM35" s="115" t="s">
        <v>22</v>
      </c>
      <c r="AN35" s="114">
        <f>COUNTIF(AH24:AN24,"A")+COUNTIF(AH26:AN26,"A")+COUNTIF(AH28:AN28,"A")+COUNTIF(AH30:AN30,"A")+COUNTIF(AH32:AN32,"A")+COUNTIF(AH34:AN34,"A")</f>
        <v>0</v>
      </c>
      <c r="AO35" s="54">
        <f>SUM((AJ35*0.5)+(AL35*0.5)+(AN35))</f>
        <v>0</v>
      </c>
      <c r="AP35" s="3"/>
      <c r="AQ35" s="3"/>
      <c r="AR35" s="3"/>
      <c r="AS35" s="3"/>
      <c r="AT35" s="3"/>
      <c r="AU35" s="3"/>
    </row>
    <row r="36" spans="2:47" s="3" customFormat="1" ht="15.95" customHeight="1" thickBot="1" thickTop="1">
      <c r="B36" s="63"/>
      <c r="C36" s="70"/>
      <c r="D36" s="70"/>
      <c r="E36" s="70"/>
      <c r="F36" s="70"/>
      <c r="G36" s="70"/>
      <c r="H36" s="70"/>
      <c r="I36" s="70"/>
      <c r="J36" s="70"/>
      <c r="K36" s="40"/>
      <c r="L36" s="85"/>
      <c r="M36" s="66"/>
      <c r="N36" s="66"/>
      <c r="O36" s="66"/>
      <c r="P36" s="66"/>
      <c r="Q36" s="66"/>
      <c r="R36" s="66"/>
      <c r="S36" s="66"/>
      <c r="T36" s="66"/>
      <c r="U36" s="40"/>
      <c r="V36" s="85"/>
      <c r="W36" s="66"/>
      <c r="X36" s="66"/>
      <c r="Y36" s="66"/>
      <c r="Z36" s="66"/>
      <c r="AA36" s="66"/>
      <c r="AB36" s="66"/>
      <c r="AC36" s="66"/>
      <c r="AD36" s="66"/>
      <c r="AE36" s="40"/>
      <c r="AF36" s="85"/>
      <c r="AG36" s="66"/>
      <c r="AH36" s="66"/>
      <c r="AI36" s="66"/>
      <c r="AJ36" s="66"/>
      <c r="AK36" s="66"/>
      <c r="AL36" s="66"/>
      <c r="AM36" s="66"/>
      <c r="AN36" s="66"/>
      <c r="AO36" s="39"/>
      <c r="AR36" s="6"/>
      <c r="AS36" s="6"/>
      <c r="AT36" s="6"/>
      <c r="AU36" s="6"/>
    </row>
    <row r="37" spans="2:47" s="6" customFormat="1" ht="15.95" customHeight="1" thickTop="1">
      <c r="B37" s="64"/>
      <c r="C37" s="71"/>
      <c r="D37" s="116"/>
      <c r="E37" s="116"/>
      <c r="F37" s="116"/>
      <c r="G37" s="116"/>
      <c r="H37" s="116"/>
      <c r="I37" s="116"/>
      <c r="J37" s="116"/>
      <c r="K37" s="88"/>
      <c r="L37" s="85"/>
      <c r="M37" s="67"/>
      <c r="N37" s="117"/>
      <c r="O37" s="117"/>
      <c r="P37" s="117"/>
      <c r="Q37" s="117"/>
      <c r="R37" s="117"/>
      <c r="S37" s="117"/>
      <c r="T37" s="117"/>
      <c r="U37" s="88"/>
      <c r="V37" s="85"/>
      <c r="W37" s="67"/>
      <c r="X37" s="117"/>
      <c r="Y37" s="117"/>
      <c r="Z37" s="117"/>
      <c r="AA37" s="117"/>
      <c r="AB37" s="117"/>
      <c r="AC37" s="117"/>
      <c r="AD37" s="117"/>
      <c r="AE37" s="88"/>
      <c r="AF37" s="85"/>
      <c r="AG37" s="67"/>
      <c r="AH37" s="117"/>
      <c r="AI37" s="117"/>
      <c r="AJ37" s="117"/>
      <c r="AK37" s="117"/>
      <c r="AL37" s="117"/>
      <c r="AM37" s="117"/>
      <c r="AN37" s="117"/>
      <c r="AO37" s="47"/>
      <c r="AR37" s="3"/>
      <c r="AS37" s="3"/>
      <c r="AT37" s="3"/>
      <c r="AU37" s="3"/>
    </row>
    <row r="38" spans="2:47" s="3" customFormat="1" ht="15.95" customHeight="1">
      <c r="B38" s="63"/>
      <c r="C38" s="62"/>
      <c r="D38" s="133" t="s">
        <v>7</v>
      </c>
      <c r="E38" s="134"/>
      <c r="F38" s="134"/>
      <c r="G38" s="134"/>
      <c r="H38" s="134"/>
      <c r="I38" s="134"/>
      <c r="J38" s="135"/>
      <c r="K38" s="86"/>
      <c r="L38" s="87"/>
      <c r="M38" s="62"/>
      <c r="N38" s="133" t="s">
        <v>10</v>
      </c>
      <c r="O38" s="134"/>
      <c r="P38" s="134"/>
      <c r="Q38" s="134"/>
      <c r="R38" s="134"/>
      <c r="S38" s="134"/>
      <c r="T38" s="135"/>
      <c r="U38" s="86"/>
      <c r="V38" s="87"/>
      <c r="W38" s="62"/>
      <c r="X38" s="133" t="s">
        <v>12</v>
      </c>
      <c r="Y38" s="134"/>
      <c r="Z38" s="134"/>
      <c r="AA38" s="134"/>
      <c r="AB38" s="134"/>
      <c r="AC38" s="134"/>
      <c r="AD38" s="135"/>
      <c r="AE38" s="91"/>
      <c r="AF38" s="87"/>
      <c r="AG38" s="62"/>
      <c r="AH38" s="133" t="s">
        <v>16</v>
      </c>
      <c r="AI38" s="134"/>
      <c r="AJ38" s="134"/>
      <c r="AK38" s="134"/>
      <c r="AL38" s="134"/>
      <c r="AM38" s="134"/>
      <c r="AN38" s="135"/>
      <c r="AO38" s="45"/>
      <c r="AR38" s="6"/>
      <c r="AS38" s="6"/>
      <c r="AT38" s="6"/>
      <c r="AU38" s="6"/>
    </row>
    <row r="39" spans="2:47" s="6" customFormat="1" ht="15.95" customHeight="1">
      <c r="B39" s="64"/>
      <c r="C39" s="60"/>
      <c r="D39" s="107" t="s">
        <v>0</v>
      </c>
      <c r="E39" s="107" t="s">
        <v>1</v>
      </c>
      <c r="F39" s="107" t="s">
        <v>2</v>
      </c>
      <c r="G39" s="107" t="s">
        <v>3</v>
      </c>
      <c r="H39" s="107" t="s">
        <v>2</v>
      </c>
      <c r="I39" s="107" t="s">
        <v>4</v>
      </c>
      <c r="J39" s="107" t="s">
        <v>0</v>
      </c>
      <c r="K39" s="81"/>
      <c r="L39" s="82"/>
      <c r="M39" s="60"/>
      <c r="N39" s="107" t="s">
        <v>0</v>
      </c>
      <c r="O39" s="107" t="s">
        <v>1</v>
      </c>
      <c r="P39" s="107" t="s">
        <v>2</v>
      </c>
      <c r="Q39" s="107" t="s">
        <v>3</v>
      </c>
      <c r="R39" s="107" t="s">
        <v>2</v>
      </c>
      <c r="S39" s="107" t="s">
        <v>4</v>
      </c>
      <c r="T39" s="107" t="s">
        <v>0</v>
      </c>
      <c r="U39" s="81"/>
      <c r="V39" s="82"/>
      <c r="W39" s="60"/>
      <c r="X39" s="107" t="s">
        <v>0</v>
      </c>
      <c r="Y39" s="107" t="s">
        <v>1</v>
      </c>
      <c r="Z39" s="107" t="s">
        <v>2</v>
      </c>
      <c r="AA39" s="107" t="s">
        <v>3</v>
      </c>
      <c r="AB39" s="107" t="s">
        <v>2</v>
      </c>
      <c r="AC39" s="107" t="s">
        <v>4</v>
      </c>
      <c r="AD39" s="107" t="s">
        <v>0</v>
      </c>
      <c r="AE39" s="81"/>
      <c r="AF39" s="82"/>
      <c r="AG39" s="60"/>
      <c r="AH39" s="107" t="s">
        <v>0</v>
      </c>
      <c r="AI39" s="107" t="s">
        <v>1</v>
      </c>
      <c r="AJ39" s="107" t="s">
        <v>2</v>
      </c>
      <c r="AK39" s="107" t="s">
        <v>3</v>
      </c>
      <c r="AL39" s="107" t="s">
        <v>2</v>
      </c>
      <c r="AM39" s="107" t="s">
        <v>4</v>
      </c>
      <c r="AN39" s="107" t="s">
        <v>0</v>
      </c>
      <c r="AO39" s="44"/>
      <c r="AR39" s="3"/>
      <c r="AS39" s="3"/>
      <c r="AT39" s="3"/>
      <c r="AU39" s="3"/>
    </row>
    <row r="40" spans="2:47" s="3" customFormat="1" ht="15.95" customHeight="1">
      <c r="B40" s="63"/>
      <c r="C40" s="60"/>
      <c r="D40" s="51" t="str">
        <f>IF(AND(YEAR(MarSun1)=$A$1,MONTH(MarSun1)=3),MarSun1,"")</f>
        <v/>
      </c>
      <c r="E40" s="51" t="str">
        <f>IF(AND(YEAR(MarSun1+1)=$A$1,MONTH(MarSun1+1)=3),MarSun1+1,"")</f>
        <v/>
      </c>
      <c r="F40" s="51">
        <f>IF(AND(YEAR(MarSun1+2)=$A$1,MONTH(MarSun1+2)=3),MarSun1+2,"")</f>
        <v>42430</v>
      </c>
      <c r="G40" s="51">
        <f>IF(AND(YEAR(MarSun1+3)=$A$1,MONTH(MarSun1+3)=3),MarSun1+3,"")</f>
        <v>42431</v>
      </c>
      <c r="H40" s="51">
        <f>IF(AND(YEAR(MarSun1+4)=$A$1,MONTH(MarSun1+4)=3),MarSun1+4,"")</f>
        <v>42432</v>
      </c>
      <c r="I40" s="51">
        <f>IF(AND(YEAR(MarSun1+5)=$A$1,MONTH(MarSun1+5)=3),MarSun1+5,"")</f>
        <v>42433</v>
      </c>
      <c r="J40" s="51">
        <f>IF(AND(YEAR(MarSun1+6)=$A$1,MONTH(MarSun1+6)=3),MarSun1+6,"")</f>
        <v>42434</v>
      </c>
      <c r="K40" s="49"/>
      <c r="L40" s="16"/>
      <c r="M40" s="60"/>
      <c r="N40" s="51" t="str">
        <f>IF(AND(YEAR(JunSun1)=$A$1,MONTH(JunSun1)=6),JunSun1,"")</f>
        <v/>
      </c>
      <c r="O40" s="51" t="str">
        <f>IF(AND(YEAR(JunSun1+1)=$A$1,MONTH(JunSun1+1)=6),JunSun1+1,"")</f>
        <v/>
      </c>
      <c r="P40" s="51" t="str">
        <f>IF(AND(YEAR(JunSun1+2)=$A$1,MONTH(JunSun1+2)=6),JunSun1+2,"")</f>
        <v/>
      </c>
      <c r="Q40" s="51">
        <f>IF(AND(YEAR(JunSun1+3)=$A$1,MONTH(JunSun1+3)=6),JunSun1+3,"")</f>
        <v>42522</v>
      </c>
      <c r="R40" s="51">
        <f>IF(AND(YEAR(JunSun1+4)=$A$1,MONTH(JunSun1+4)=6),JunSun1+4,"")</f>
        <v>42523</v>
      </c>
      <c r="S40" s="51">
        <f>IF(AND(YEAR(JunSun1+5)=$A$1,MONTH(JunSun1+5)=6),JunSun1+5,"")</f>
        <v>42524</v>
      </c>
      <c r="T40" s="51">
        <f>IF(AND(YEAR(JunSun1+6)=$A$1,MONTH(JunSun1+6)=6),JunSun1+6,"")</f>
        <v>42525</v>
      </c>
      <c r="U40" s="49"/>
      <c r="V40" s="16"/>
      <c r="W40" s="60"/>
      <c r="X40" s="51" t="str">
        <f>IF(AND(YEAR(SepSun1)=$A$1,MONTH(SepSun1)=9),SepSun1,"")</f>
        <v/>
      </c>
      <c r="Y40" s="51" t="str">
        <f>IF(AND(YEAR(SepSun1+1)=$A$1,MONTH(SepSun1+1)=9),SepSun1+1,"")</f>
        <v/>
      </c>
      <c r="Z40" s="51" t="str">
        <f>IF(AND(YEAR(SepSun1+2)=$A$1,MONTH(SepSun1+2)=9),SepSun1+2,"")</f>
        <v/>
      </c>
      <c r="AA40" s="51" t="str">
        <f>IF(AND(YEAR(SepSun1+3)=$A$1,MONTH(SepSun1+3)=9),SepSun1+3,"")</f>
        <v/>
      </c>
      <c r="AB40" s="51">
        <f>IF(AND(YEAR(SepSun1+4)=$A$1,MONTH(SepSun1+4)=9),SepSun1+4,"")</f>
        <v>42614</v>
      </c>
      <c r="AC40" s="51">
        <f>IF(AND(YEAR(SepSun1+5)=$A$1,MONTH(SepSun1+5)=9),SepSun1+5,"")</f>
        <v>42615</v>
      </c>
      <c r="AD40" s="51">
        <f>IF(AND(YEAR(SepSun1+6)=$A$1,MONTH(SepSun1+6)=9),SepSun1+6,"")</f>
        <v>42616</v>
      </c>
      <c r="AE40" s="49"/>
      <c r="AF40" s="16"/>
      <c r="AG40" s="60"/>
      <c r="AH40" s="51" t="str">
        <f>IF(AND(YEAR(DecSun1)=$A$1,MONTH(DecSun1)=12),DecSun1,"")</f>
        <v/>
      </c>
      <c r="AI40" s="51" t="str">
        <f>IF(AND(YEAR(DecSun1+1)=$A$1,MONTH(DecSun1+1)=12),DecSun1+1,"")</f>
        <v/>
      </c>
      <c r="AJ40" s="51" t="str">
        <f>IF(AND(YEAR(DecSun1+2)=$A$1,MONTH(DecSun1+2)=12),DecSun1+2,"")</f>
        <v/>
      </c>
      <c r="AK40" s="51" t="str">
        <f>IF(AND(YEAR(DecSun1+3)=$A$1,MONTH(DecSun1+3)=12),DecSun1+3,"")</f>
        <v/>
      </c>
      <c r="AL40" s="51">
        <f>IF(AND(YEAR(DecSun1+4)=$A$1,MONTH(DecSun1+4)=12),DecSun1+4,"")</f>
        <v>42705</v>
      </c>
      <c r="AM40" s="51">
        <f>IF(AND(YEAR(DecSun1+5)=$A$1,MONTH(DecSun1+5)=12),DecSun1+5,"")</f>
        <v>42706</v>
      </c>
      <c r="AN40" s="51">
        <f>IF(AND(YEAR(DecSun1+6)=$A$1,MONTH(DecSun1+6)=12),DecSun1+6,"")</f>
        <v>42707</v>
      </c>
      <c r="AO40" s="44"/>
      <c r="AR40" s="6"/>
      <c r="AS40" s="6"/>
      <c r="AT40" s="6"/>
      <c r="AU40" s="6"/>
    </row>
    <row r="41" spans="2:47" s="6" customFormat="1" ht="15.95" customHeight="1">
      <c r="B41" s="64"/>
      <c r="C41" s="62"/>
      <c r="D41" s="52"/>
      <c r="E41" s="52"/>
      <c r="F41" s="52"/>
      <c r="G41" s="52"/>
      <c r="H41" s="52"/>
      <c r="I41" s="52"/>
      <c r="J41" s="52"/>
      <c r="K41" s="83"/>
      <c r="L41" s="84"/>
      <c r="M41" s="62"/>
      <c r="N41" s="53"/>
      <c r="O41" s="52"/>
      <c r="P41" s="52"/>
      <c r="Q41" s="52"/>
      <c r="R41" s="52"/>
      <c r="S41" s="52"/>
      <c r="T41" s="52"/>
      <c r="U41" s="83"/>
      <c r="V41" s="84"/>
      <c r="W41" s="62"/>
      <c r="X41" s="53"/>
      <c r="Y41" s="53"/>
      <c r="Z41" s="52"/>
      <c r="AA41" s="52"/>
      <c r="AB41" s="52"/>
      <c r="AC41" s="52"/>
      <c r="AD41" s="52"/>
      <c r="AE41" s="83"/>
      <c r="AF41" s="84"/>
      <c r="AG41" s="62"/>
      <c r="AH41" s="53"/>
      <c r="AI41" s="53"/>
      <c r="AJ41" s="52"/>
      <c r="AK41" s="52"/>
      <c r="AL41" s="52"/>
      <c r="AM41" s="52"/>
      <c r="AN41" s="52"/>
      <c r="AO41" s="45"/>
      <c r="AR41" s="3"/>
      <c r="AS41" s="3"/>
      <c r="AT41" s="3"/>
      <c r="AU41" s="3"/>
    </row>
    <row r="42" spans="2:47" s="3" customFormat="1" ht="15.95" customHeight="1">
      <c r="B42" s="63"/>
      <c r="C42" s="60"/>
      <c r="D42" s="51">
        <f>IF(AND(YEAR(MarSun1+7)=$A$1,MONTH(MarSun1+7)=3),MarSun1+7,"")</f>
        <v>42435</v>
      </c>
      <c r="E42" s="51">
        <f>IF(AND(YEAR(MarSun1+8)=$A$1,MONTH(MarSun1+8)=3),MarSun1+8,"")</f>
        <v>42436</v>
      </c>
      <c r="F42" s="51">
        <f>IF(AND(YEAR(MarSun1+9)=$A$1,MONTH(MarSun1+9)=3),MarSun1+9,"")</f>
        <v>42437</v>
      </c>
      <c r="G42" s="51">
        <f>IF(AND(YEAR(MarSun1+10)=$A$1,MONTH(MarSun1+10)=3),MarSun1+10,"")</f>
        <v>42438</v>
      </c>
      <c r="H42" s="51">
        <f>IF(AND(YEAR(MarSun1+11)=$A$1,MONTH(MarSun1+11)=3),MarSun1+11,"")</f>
        <v>42439</v>
      </c>
      <c r="I42" s="51">
        <f>IF(AND(YEAR(MarSun1+12)=$A$1,MONTH(MarSun1+12)=3),MarSun1+12,"")</f>
        <v>42440</v>
      </c>
      <c r="J42" s="51">
        <f>IF(AND(YEAR(MarSun1+13)=$A$1,MONTH(MarSun1+13)=3),MarSun1+13,"")</f>
        <v>42441</v>
      </c>
      <c r="K42" s="49"/>
      <c r="L42" s="16"/>
      <c r="M42" s="60"/>
      <c r="N42" s="51">
        <f>IF(AND(YEAR(JunSun1+7)=$A$1,MONTH(JunSun1+7)=6),JunSun1+7,"")</f>
        <v>42526</v>
      </c>
      <c r="O42" s="51">
        <f>IF(AND(YEAR(JunSun1+8)=$A$1,MONTH(JunSun1+8)=6),JunSun1+8,"")</f>
        <v>42527</v>
      </c>
      <c r="P42" s="51">
        <f>IF(AND(YEAR(JunSun1+9)=$A$1,MONTH(JunSun1+9)=6),JunSun1+9,"")</f>
        <v>42528</v>
      </c>
      <c r="Q42" s="51">
        <f>IF(AND(YEAR(JunSun1+10)=$A$1,MONTH(JunSun1+10)=6),JunSun1+10,"")</f>
        <v>42529</v>
      </c>
      <c r="R42" s="51">
        <f>IF(AND(YEAR(JunSun1+11)=$A$1,MONTH(JunSun1+11)=6),JunSun1+11,"")</f>
        <v>42530</v>
      </c>
      <c r="S42" s="51">
        <f>IF(AND(YEAR(JunSun1+12)=$A$1,MONTH(JunSun1+12)=6),JunSun1+12,"")</f>
        <v>42531</v>
      </c>
      <c r="T42" s="51">
        <f>IF(AND(YEAR(JunSun1+13)=$A$1,MONTH(JunSun1+13)=6),JunSun1+13,"")</f>
        <v>42532</v>
      </c>
      <c r="U42" s="49"/>
      <c r="V42" s="16"/>
      <c r="W42" s="60"/>
      <c r="X42" s="51">
        <f>IF(AND(YEAR(SepSun1+7)=$A$1,MONTH(SepSun1+7)=9),SepSun1+7,"")</f>
        <v>42617</v>
      </c>
      <c r="Y42" s="51">
        <f>IF(AND(YEAR(SepSun1+8)=$A$1,MONTH(SepSun1+8)=9),SepSun1+8,"")</f>
        <v>42618</v>
      </c>
      <c r="Z42" s="51">
        <f>IF(AND(YEAR(SepSun1+9)=$A$1,MONTH(SepSun1+9)=9),SepSun1+9,"")</f>
        <v>42619</v>
      </c>
      <c r="AA42" s="51">
        <f>IF(AND(YEAR(SepSun1+10)=$A$1,MONTH(SepSun1+10)=9),SepSun1+10,"")</f>
        <v>42620</v>
      </c>
      <c r="AB42" s="51">
        <f>IF(AND(YEAR(SepSun1+11)=$A$1,MONTH(SepSun1+11)=9),SepSun1+11,"")</f>
        <v>42621</v>
      </c>
      <c r="AC42" s="51">
        <f>IF(AND(YEAR(SepSun1+12)=$A$1,MONTH(SepSun1+12)=9),SepSun1+12,"")</f>
        <v>42622</v>
      </c>
      <c r="AD42" s="51">
        <f>IF(AND(YEAR(SepSun1+13)=$A$1,MONTH(SepSun1+13)=9),SepSun1+13,"")</f>
        <v>42623</v>
      </c>
      <c r="AE42" s="49"/>
      <c r="AF42" s="16"/>
      <c r="AG42" s="60"/>
      <c r="AH42" s="51">
        <f>IF(AND(YEAR(DecSun1+7)=$A$1,MONTH(DecSun1+7)=12),DecSun1+7,"")</f>
        <v>42708</v>
      </c>
      <c r="AI42" s="51">
        <f>IF(AND(YEAR(DecSun1+8)=$A$1,MONTH(DecSun1+8)=12),DecSun1+8,"")</f>
        <v>42709</v>
      </c>
      <c r="AJ42" s="51">
        <f>IF(AND(YEAR(DecSun1+9)=$A$1,MONTH(DecSun1+9)=12),DecSun1+9,"")</f>
        <v>42710</v>
      </c>
      <c r="AK42" s="51">
        <f>IF(AND(YEAR(DecSun1+10)=$A$1,MONTH(DecSun1+10)=12),DecSun1+10,"")</f>
        <v>42711</v>
      </c>
      <c r="AL42" s="51">
        <f>IF(AND(YEAR(DecSun1+11)=$A$1,MONTH(DecSun1+11)=12),DecSun1+11,"")</f>
        <v>42712</v>
      </c>
      <c r="AM42" s="51">
        <f>IF(AND(YEAR(DecSun1+12)=$A$1,MONTH(DecSun1+12)=12),DecSun1+12,"")</f>
        <v>42713</v>
      </c>
      <c r="AN42" s="51">
        <f>IF(AND(YEAR(DecSun1+13)=$A$1,MONTH(DecSun1+13)=12),DecSun1+13,"")</f>
        <v>42714</v>
      </c>
      <c r="AO42" s="44"/>
      <c r="AR42" s="6"/>
      <c r="AS42" s="6"/>
      <c r="AT42" s="6"/>
      <c r="AU42" s="6"/>
    </row>
    <row r="43" spans="2:47" s="6" customFormat="1" ht="15.95" customHeight="1">
      <c r="B43" s="64"/>
      <c r="C43" s="62"/>
      <c r="D43" s="52"/>
      <c r="E43" s="52"/>
      <c r="F43" s="52"/>
      <c r="G43" s="52"/>
      <c r="H43" s="52"/>
      <c r="I43" s="52"/>
      <c r="J43" s="52"/>
      <c r="K43" s="83"/>
      <c r="L43" s="84"/>
      <c r="M43" s="62"/>
      <c r="N43" s="52"/>
      <c r="O43" s="52"/>
      <c r="P43" s="52"/>
      <c r="Q43" s="52"/>
      <c r="R43" s="52"/>
      <c r="S43" s="52"/>
      <c r="T43" s="52"/>
      <c r="U43" s="83"/>
      <c r="V43" s="84"/>
      <c r="W43" s="62"/>
      <c r="X43" s="52"/>
      <c r="Y43" s="52"/>
      <c r="Z43" s="52"/>
      <c r="AA43" s="52"/>
      <c r="AB43" s="52"/>
      <c r="AC43" s="52"/>
      <c r="AD43" s="52"/>
      <c r="AE43" s="83"/>
      <c r="AF43" s="84"/>
      <c r="AG43" s="62"/>
      <c r="AH43" s="52"/>
      <c r="AI43" s="52"/>
      <c r="AJ43" s="52"/>
      <c r="AK43" s="52"/>
      <c r="AL43" s="52"/>
      <c r="AM43" s="52"/>
      <c r="AN43" s="52"/>
      <c r="AO43" s="45"/>
      <c r="AR43" s="3"/>
      <c r="AS43" s="3"/>
      <c r="AT43" s="3"/>
      <c r="AU43" s="3"/>
    </row>
    <row r="44" spans="1:47" ht="15.95" customHeight="1">
      <c r="A44" s="3"/>
      <c r="B44" s="63"/>
      <c r="C44" s="60"/>
      <c r="D44" s="51">
        <f>IF(AND(YEAR(MarSun1+14)=$A$1,MONTH(MarSun1+14)=3),MarSun1+14,"")</f>
        <v>42442</v>
      </c>
      <c r="E44" s="51">
        <f>IF(AND(YEAR(MarSun1+15)=$A$1,MONTH(MarSun1+15)=3),MarSun1+15,"")</f>
        <v>42443</v>
      </c>
      <c r="F44" s="51">
        <f>IF(AND(YEAR(MarSun1+16)=$A$1,MONTH(MarSun1+16)=3),MarSun1+16,"")</f>
        <v>42444</v>
      </c>
      <c r="G44" s="51">
        <f>IF(AND(YEAR(MarSun1+17)=$A$1,MONTH(MarSun1+17)=3),MarSun1+17,"")</f>
        <v>42445</v>
      </c>
      <c r="H44" s="51">
        <f>IF(AND(YEAR(MarSun1+18)=$A$1,MONTH(MarSun1+18)=3),MarSun1+18,"")</f>
        <v>42446</v>
      </c>
      <c r="I44" s="51">
        <f>IF(AND(YEAR(MarSun1+19)=$A$1,MONTH(MarSun1+19)=3),MarSun1+19,"")</f>
        <v>42447</v>
      </c>
      <c r="J44" s="51">
        <f>IF(AND(YEAR(MarSun1+20)=$A$1,MONTH(MarSun1+20)=3),MarSun1+20,"")</f>
        <v>42448</v>
      </c>
      <c r="K44" s="49"/>
      <c r="L44" s="16"/>
      <c r="M44" s="60"/>
      <c r="N44" s="51">
        <f>IF(AND(YEAR(JunSun1+14)=$A$1,MONTH(JunSun1+14)=6),JunSun1+14,"")</f>
        <v>42533</v>
      </c>
      <c r="O44" s="51">
        <f>IF(AND(YEAR(JunSun1+15)=$A$1,MONTH(JunSun1+15)=6),JunSun1+15,"")</f>
        <v>42534</v>
      </c>
      <c r="P44" s="51">
        <f>IF(AND(YEAR(JunSun1+16)=$A$1,MONTH(JunSun1+16)=6),JunSun1+16,"")</f>
        <v>42535</v>
      </c>
      <c r="Q44" s="51">
        <f>IF(AND(YEAR(JunSun1+17)=$A$1,MONTH(JunSun1+17)=6),JunSun1+17,"")</f>
        <v>42536</v>
      </c>
      <c r="R44" s="51">
        <f>IF(AND(YEAR(JunSun1+18)=$A$1,MONTH(JunSun1+18)=6),JunSun1+18,"")</f>
        <v>42537</v>
      </c>
      <c r="S44" s="51">
        <f>IF(AND(YEAR(JunSun1+19)=$A$1,MONTH(JunSun1+19)=6),JunSun1+19,"")</f>
        <v>42538</v>
      </c>
      <c r="T44" s="51">
        <f>IF(AND(YEAR(JunSun1+20)=$A$1,MONTH(JunSun1+20)=6),JunSun1+20,"")</f>
        <v>42539</v>
      </c>
      <c r="U44" s="49"/>
      <c r="V44" s="16"/>
      <c r="W44" s="60"/>
      <c r="X44" s="51">
        <f>IF(AND(YEAR(SepSun1+14)=$A$1,MONTH(SepSun1+14)=9),SepSun1+14,"")</f>
        <v>42624</v>
      </c>
      <c r="Y44" s="51">
        <f>IF(AND(YEAR(SepSun1+15)=$A$1,MONTH(SepSun1+15)=9),SepSun1+15,"")</f>
        <v>42625</v>
      </c>
      <c r="Z44" s="51">
        <f>IF(AND(YEAR(SepSun1+16)=$A$1,MONTH(SepSun1+16)=9),SepSun1+16,"")</f>
        <v>42626</v>
      </c>
      <c r="AA44" s="51">
        <f>IF(AND(YEAR(SepSun1+17)=$A$1,MONTH(SepSun1+17)=9),SepSun1+17,"")</f>
        <v>42627</v>
      </c>
      <c r="AB44" s="51">
        <f>IF(AND(YEAR(SepSun1+18)=$A$1,MONTH(SepSun1+18)=9),SepSun1+18,"")</f>
        <v>42628</v>
      </c>
      <c r="AC44" s="51">
        <f>IF(AND(YEAR(SepSun1+19)=$A$1,MONTH(SepSun1+19)=9),SepSun1+19,"")</f>
        <v>42629</v>
      </c>
      <c r="AD44" s="51">
        <f>IF(AND(YEAR(SepSun1+20)=$A$1,MONTH(SepSun1+20)=9),SepSun1+20,"")</f>
        <v>42630</v>
      </c>
      <c r="AE44" s="49"/>
      <c r="AF44" s="16"/>
      <c r="AG44" s="60"/>
      <c r="AH44" s="51">
        <f>IF(AND(YEAR(DecSun1+14)=$A$1,MONTH(DecSun1+14)=12),DecSun1+14,"")</f>
        <v>42715</v>
      </c>
      <c r="AI44" s="51">
        <f>IF(AND(YEAR(DecSun1+15)=$A$1,MONTH(DecSun1+15)=12),DecSun1+15,"")</f>
        <v>42716</v>
      </c>
      <c r="AJ44" s="51">
        <f>IF(AND(YEAR(DecSun1+16)=$A$1,MONTH(DecSun1+16)=12),DecSun1+16,"")</f>
        <v>42717</v>
      </c>
      <c r="AK44" s="51">
        <f>IF(AND(YEAR(DecSun1+17)=$A$1,MONTH(DecSun1+17)=12),DecSun1+17,"")</f>
        <v>42718</v>
      </c>
      <c r="AL44" s="51">
        <f>IF(AND(YEAR(DecSun1+18)=$A$1,MONTH(DecSun1+18)=12),DecSun1+18,"")</f>
        <v>42719</v>
      </c>
      <c r="AM44" s="51">
        <f>IF(AND(YEAR(DecSun1+19)=$A$1,MONTH(DecSun1+19)=12),DecSun1+19,"")</f>
        <v>42720</v>
      </c>
      <c r="AN44" s="51">
        <f>IF(AND(YEAR(DecSun1+20)=$A$1,MONTH(DecSun1+20)=12),DecSun1+20,"")</f>
        <v>42721</v>
      </c>
      <c r="AO44" s="44"/>
      <c r="AP44" s="3"/>
      <c r="AQ44" s="3"/>
      <c r="AR44" s="6"/>
      <c r="AS44" s="6"/>
      <c r="AT44" s="6"/>
      <c r="AU44" s="6"/>
    </row>
    <row r="45" spans="1:47" ht="15.95" customHeight="1">
      <c r="A45" s="6"/>
      <c r="B45" s="64"/>
      <c r="C45" s="62"/>
      <c r="D45" s="52"/>
      <c r="E45" s="52"/>
      <c r="F45" s="52"/>
      <c r="G45" s="52"/>
      <c r="H45" s="52"/>
      <c r="I45" s="52"/>
      <c r="J45" s="52"/>
      <c r="K45" s="83"/>
      <c r="L45" s="84"/>
      <c r="M45" s="62"/>
      <c r="N45" s="52"/>
      <c r="O45" s="52"/>
      <c r="P45" s="52"/>
      <c r="Q45" s="52"/>
      <c r="R45" s="52"/>
      <c r="S45" s="52"/>
      <c r="T45" s="52"/>
      <c r="U45" s="83"/>
      <c r="V45" s="84"/>
      <c r="W45" s="62"/>
      <c r="X45" s="52"/>
      <c r="Y45" s="52"/>
      <c r="Z45" s="52"/>
      <c r="AA45" s="52"/>
      <c r="AB45" s="52"/>
      <c r="AC45" s="52"/>
      <c r="AD45" s="52"/>
      <c r="AE45" s="83"/>
      <c r="AF45" s="84"/>
      <c r="AG45" s="62"/>
      <c r="AH45" s="52"/>
      <c r="AI45" s="52"/>
      <c r="AJ45" s="52"/>
      <c r="AK45" s="52"/>
      <c r="AL45" s="52"/>
      <c r="AM45" s="52"/>
      <c r="AN45" s="52"/>
      <c r="AO45" s="45"/>
      <c r="AP45" s="16"/>
      <c r="AQ45" s="6"/>
      <c r="AR45" s="3"/>
      <c r="AS45" s="3"/>
      <c r="AT45" s="3"/>
      <c r="AU45" s="3"/>
    </row>
    <row r="46" spans="1:47" ht="15.95" customHeight="1">
      <c r="A46" s="3"/>
      <c r="B46" s="63"/>
      <c r="C46" s="60"/>
      <c r="D46" s="51">
        <f>IF(AND(YEAR(MarSun1+21)=$A$1,MONTH(MarSun1+21)=3),MarSun1+21,"")</f>
        <v>42449</v>
      </c>
      <c r="E46" s="51">
        <f>IF(AND(YEAR(MarSun1+22)=$A$1,MONTH(MarSun1+22)=3),MarSun1+22,"")</f>
        <v>42450</v>
      </c>
      <c r="F46" s="51">
        <f>IF(AND(YEAR(MarSun1+23)=$A$1,MONTH(MarSun1+23)=3),MarSun1+23,"")</f>
        <v>42451</v>
      </c>
      <c r="G46" s="51">
        <f>IF(AND(YEAR(MarSun1+24)=$A$1,MONTH(MarSun1+24)=3),MarSun1+24,"")</f>
        <v>42452</v>
      </c>
      <c r="H46" s="51">
        <f>IF(AND(YEAR(MarSun1+25)=$A$1,MONTH(MarSun1+25)=3),MarSun1+25,"")</f>
        <v>42453</v>
      </c>
      <c r="I46" s="51">
        <f>IF(AND(YEAR(MarSun1+26)=$A$1,MONTH(MarSun1+26)=3),MarSun1+26,"")</f>
        <v>42454</v>
      </c>
      <c r="J46" s="51">
        <f>IF(AND(YEAR(MarSun1+27)=$A$1,MONTH(MarSun1+27)=3),MarSun1+27,"")</f>
        <v>42455</v>
      </c>
      <c r="K46" s="49"/>
      <c r="L46" s="16"/>
      <c r="M46" s="60"/>
      <c r="N46" s="51">
        <f>IF(AND(YEAR(JunSun1+21)=$A$1,MONTH(JunSun1+21)=6),JunSun1+21,"")</f>
        <v>42540</v>
      </c>
      <c r="O46" s="51">
        <f>IF(AND(YEAR(JunSun1+22)=$A$1,MONTH(JunSun1+22)=6),JunSun1+22,"")</f>
        <v>42541</v>
      </c>
      <c r="P46" s="51">
        <f>IF(AND(YEAR(JunSun1+23)=$A$1,MONTH(JunSun1+23)=6),JunSun1+23,"")</f>
        <v>42542</v>
      </c>
      <c r="Q46" s="51">
        <f>IF(AND(YEAR(JunSun1+24)=$A$1,MONTH(JunSun1+24)=6),JunSun1+24,"")</f>
        <v>42543</v>
      </c>
      <c r="R46" s="51">
        <f>IF(AND(YEAR(JunSun1+25)=$A$1,MONTH(JunSun1+25)=6),JunSun1+25,"")</f>
        <v>42544</v>
      </c>
      <c r="S46" s="51">
        <f>IF(AND(YEAR(JunSun1+26)=$A$1,MONTH(JunSun1+26)=6),JunSun1+26,"")</f>
        <v>42545</v>
      </c>
      <c r="T46" s="51">
        <f>IF(AND(YEAR(JunSun1+27)=$A$1,MONTH(JunSun1+27)=6),JunSun1+27,"")</f>
        <v>42546</v>
      </c>
      <c r="U46" s="49"/>
      <c r="V46" s="16"/>
      <c r="W46" s="60"/>
      <c r="X46" s="51">
        <f>IF(AND(YEAR(SepSun1+21)=$A$1,MONTH(SepSun1+21)=9),SepSun1+21,"")</f>
        <v>42631</v>
      </c>
      <c r="Y46" s="51">
        <f>IF(AND(YEAR(SepSun1+22)=$A$1,MONTH(SepSun1+22)=9),SepSun1+22,"")</f>
        <v>42632</v>
      </c>
      <c r="Z46" s="51">
        <f>IF(AND(YEAR(SepSun1+23)=$A$1,MONTH(SepSun1+23)=9),SepSun1+23,"")</f>
        <v>42633</v>
      </c>
      <c r="AA46" s="51">
        <f>IF(AND(YEAR(SepSun1+24)=$A$1,MONTH(SepSun1+24)=9),SepSun1+24,"")</f>
        <v>42634</v>
      </c>
      <c r="AB46" s="51">
        <f>IF(AND(YEAR(SepSun1+25)=$A$1,MONTH(SepSun1+25)=9),SepSun1+25,"")</f>
        <v>42635</v>
      </c>
      <c r="AC46" s="51">
        <f>IF(AND(YEAR(SepSun1+26)=$A$1,MONTH(SepSun1+26)=9),SepSun1+26,"")</f>
        <v>42636</v>
      </c>
      <c r="AD46" s="51">
        <f>IF(AND(YEAR(SepSun1+27)=$A$1,MONTH(SepSun1+27)=9),SepSun1+27,"")</f>
        <v>42637</v>
      </c>
      <c r="AE46" s="49"/>
      <c r="AF46" s="16"/>
      <c r="AG46" s="60"/>
      <c r="AH46" s="51">
        <f>IF(AND(YEAR(DecSun1+21)=$A$1,MONTH(DecSun1+21)=12),DecSun1+21,"")</f>
        <v>42722</v>
      </c>
      <c r="AI46" s="51">
        <f>IF(AND(YEAR(DecSun1+22)=$A$1,MONTH(DecSun1+22)=12),DecSun1+22,"")</f>
        <v>42723</v>
      </c>
      <c r="AJ46" s="51">
        <f>IF(AND(YEAR(DecSun1+23)=$A$1,MONTH(DecSun1+23)=12),DecSun1+23,"")</f>
        <v>42724</v>
      </c>
      <c r="AK46" s="51">
        <f>IF(AND(YEAR(DecSun1+24)=$A$1,MONTH(DecSun1+24)=12),DecSun1+24,"")</f>
        <v>42725</v>
      </c>
      <c r="AL46" s="51">
        <f>IF(AND(YEAR(DecSun1+25)=$A$1,MONTH(DecSun1+25)=12),DecSun1+25,"")</f>
        <v>42726</v>
      </c>
      <c r="AM46" s="51">
        <f>IF(AND(YEAR(DecSun1+26)=$A$1,MONTH(DecSun1+26)=12),DecSun1+26,"")</f>
        <v>42727</v>
      </c>
      <c r="AN46" s="51">
        <f>IF(AND(YEAR(DecSun1+27)=$A$1,MONTH(DecSun1+27)=12),DecSun1+27,"")</f>
        <v>42728</v>
      </c>
      <c r="AO46" s="44"/>
      <c r="AP46" s="40"/>
      <c r="AQ46" s="3"/>
      <c r="AR46" s="6"/>
      <c r="AS46" s="6"/>
      <c r="AT46" s="6"/>
      <c r="AU46" s="6"/>
    </row>
    <row r="47" spans="1:44" ht="15.95" customHeight="1">
      <c r="A47" s="6"/>
      <c r="B47" s="64"/>
      <c r="C47" s="62"/>
      <c r="D47" s="52"/>
      <c r="E47" s="52"/>
      <c r="F47" s="52"/>
      <c r="G47" s="52"/>
      <c r="H47" s="52"/>
      <c r="I47" s="52"/>
      <c r="J47" s="52"/>
      <c r="K47" s="83"/>
      <c r="L47" s="84"/>
      <c r="M47" s="62"/>
      <c r="N47" s="52"/>
      <c r="O47" s="52"/>
      <c r="P47" s="52"/>
      <c r="Q47" s="52"/>
      <c r="R47" s="52"/>
      <c r="S47" s="52"/>
      <c r="T47" s="52"/>
      <c r="U47" s="83"/>
      <c r="V47" s="84"/>
      <c r="W47" s="62"/>
      <c r="X47" s="52"/>
      <c r="Y47" s="52"/>
      <c r="Z47" s="52"/>
      <c r="AA47" s="52"/>
      <c r="AB47" s="52"/>
      <c r="AC47" s="52"/>
      <c r="AD47" s="52"/>
      <c r="AE47" s="83"/>
      <c r="AF47" s="84"/>
      <c r="AG47" s="62"/>
      <c r="AH47" s="52"/>
      <c r="AI47" s="52"/>
      <c r="AJ47" s="52"/>
      <c r="AK47" s="52"/>
      <c r="AL47" s="52"/>
      <c r="AM47" s="52"/>
      <c r="AN47" s="52"/>
      <c r="AO47" s="45"/>
      <c r="AQ47" s="16"/>
      <c r="AR47" s="12"/>
    </row>
    <row r="48" spans="2:43" s="42" customFormat="1" ht="15.95" customHeight="1">
      <c r="B48" s="72"/>
      <c r="C48" s="60"/>
      <c r="D48" s="51">
        <f>IF(AND(YEAR(MarSun1+28)=$A$1,MONTH(MarSun1+28)=3),MarSun1+28,"")</f>
        <v>42456</v>
      </c>
      <c r="E48" s="51">
        <f>IF(AND(YEAR(MarSun1+29)=$A$1,MONTH(MarSun1+29)=3),MarSun1+29,"")</f>
        <v>42457</v>
      </c>
      <c r="F48" s="51">
        <f>IF(AND(YEAR(MarSun1+30)=$A$1,MONTH(MarSun1+30)=3),MarSun1+30,"")</f>
        <v>42458</v>
      </c>
      <c r="G48" s="51">
        <f>IF(AND(YEAR(MarSun1+31)=$A$1,MONTH(MarSun1+31)=3),MarSun1+31,"")</f>
        <v>42459</v>
      </c>
      <c r="H48" s="51">
        <f>IF(AND(YEAR(MarSun1+32)=$A$1,MONTH(MarSun1+32)=3),MarSun1+32,"")</f>
        <v>42460</v>
      </c>
      <c r="I48" s="51" t="str">
        <f>IF(AND(YEAR(MarSun1+33)=$A$1,MONTH(MarSun1+33)=3),MarSun1+33,"")</f>
        <v/>
      </c>
      <c r="J48" s="51" t="str">
        <f>IF(AND(YEAR(MarSun1+34)=$A$1,MONTH(MarSun1+34)=3),MarSun1+34,"")</f>
        <v/>
      </c>
      <c r="K48" s="49"/>
      <c r="L48" s="16"/>
      <c r="M48" s="60"/>
      <c r="N48" s="51">
        <f>IF(AND(YEAR(JunSun1+28)=$A$1,MONTH(JunSun1+28)=6),JunSun1+28,"")</f>
        <v>42547</v>
      </c>
      <c r="O48" s="51">
        <f>IF(AND(YEAR(JunSun1+29)=$A$1,MONTH(JunSun1+29)=6),JunSun1+29,"")</f>
        <v>42548</v>
      </c>
      <c r="P48" s="51">
        <f>IF(AND(YEAR(JunSun1+30)=$A$1,MONTH(JunSun1+30)=6),JunSun1+30,"")</f>
        <v>42549</v>
      </c>
      <c r="Q48" s="51">
        <f>IF(AND(YEAR(JunSun1+31)=$A$1,MONTH(JunSun1+31)=6),JunSun1+31,"")</f>
        <v>42550</v>
      </c>
      <c r="R48" s="51">
        <f>IF(AND(YEAR(JunSun1+32)=$A$1,MONTH(JunSun1+32)=6),JunSun1+32,"")</f>
        <v>42551</v>
      </c>
      <c r="S48" s="51" t="str">
        <f>IF(AND(YEAR(JunSun1+33)=$A$1,MONTH(JunSun1+33)=6),JunSun1+33,"")</f>
        <v/>
      </c>
      <c r="T48" s="51" t="str">
        <f>IF(AND(YEAR(JunSun1+34)=$A$1,MONTH(JunSun1+34)=6),JunSun1+34,"")</f>
        <v/>
      </c>
      <c r="U48" s="49"/>
      <c r="V48" s="16"/>
      <c r="W48" s="60"/>
      <c r="X48" s="51">
        <f>IF(AND(YEAR(SepSun1+28)=$A$1,MONTH(SepSun1+28)=9),SepSun1+28,"")</f>
        <v>42638</v>
      </c>
      <c r="Y48" s="51">
        <f>IF(AND(YEAR(SepSun1+29)=$A$1,MONTH(SepSun1+29)=9),SepSun1+29,"")</f>
        <v>42639</v>
      </c>
      <c r="Z48" s="51">
        <f>IF(AND(YEAR(SepSun1+30)=$A$1,MONTH(SepSun1+30)=9),SepSun1+30,"")</f>
        <v>42640</v>
      </c>
      <c r="AA48" s="51">
        <f>IF(AND(YEAR(SepSun1+31)=$A$1,MONTH(SepSun1+31)=9),SepSun1+31,"")</f>
        <v>42641</v>
      </c>
      <c r="AB48" s="51">
        <f>IF(AND(YEAR(SepSun1+32)=$A$1,MONTH(SepSun1+32)=9),SepSun1+32,"")</f>
        <v>42642</v>
      </c>
      <c r="AC48" s="51">
        <f>IF(AND(YEAR(SepSun1+33)=$A$1,MONTH(SepSun1+33)=9),SepSun1+33,"")</f>
        <v>42643</v>
      </c>
      <c r="AD48" s="51" t="str">
        <f>IF(AND(YEAR(SepSun1+34)=$A$1,MONTH(SepSun1+34)=9),SepSun1+34,"")</f>
        <v/>
      </c>
      <c r="AE48" s="49"/>
      <c r="AF48" s="16"/>
      <c r="AG48" s="60"/>
      <c r="AH48" s="51">
        <f>IF(AND(YEAR(DecSun1+28)=$A$1,MONTH(DecSun1+28)=12),DecSun1+28,"")</f>
        <v>42729</v>
      </c>
      <c r="AI48" s="51">
        <f>IF(AND(YEAR(DecSun1+29)=$A$1,MONTH(DecSun1+29)=12),DecSun1+29,"")</f>
        <v>42730</v>
      </c>
      <c r="AJ48" s="51">
        <f>IF(AND(YEAR(DecSun1+30)=$A$1,MONTH(DecSun1+30)=12),DecSun1+30,"")</f>
        <v>42731</v>
      </c>
      <c r="AK48" s="51">
        <f>IF(AND(YEAR(DecSun1+31)=$A$1,MONTH(DecSun1+31)=12),DecSun1+31,"")</f>
        <v>42732</v>
      </c>
      <c r="AL48" s="51">
        <f>IF(AND(YEAR(DecSun1+32)=$A$1,MONTH(DecSun1+32)=12),DecSun1+32,"")</f>
        <v>42733</v>
      </c>
      <c r="AM48" s="51">
        <f>IF(AND(YEAR(DecSun1+33)=$A$1,MONTH(DecSun1+33)=12),DecSun1+33,"")</f>
        <v>42734</v>
      </c>
      <c r="AN48" s="51">
        <f>IF(AND(YEAR(DecSun1+34)=$A$1,MONTH(DecSun1+34)=12),DecSun1+34,"")</f>
        <v>42735</v>
      </c>
      <c r="AO48" s="44"/>
      <c r="AP48" s="2"/>
      <c r="AQ48" s="40"/>
    </row>
    <row r="49" spans="3:41" ht="12.75">
      <c r="C49" s="62"/>
      <c r="D49" s="52"/>
      <c r="E49" s="52"/>
      <c r="F49" s="52"/>
      <c r="G49" s="53"/>
      <c r="H49" s="53"/>
      <c r="I49" s="53"/>
      <c r="J49" s="53"/>
      <c r="K49" s="83"/>
      <c r="L49" s="84"/>
      <c r="M49" s="62"/>
      <c r="N49" s="52"/>
      <c r="O49" s="52"/>
      <c r="P49" s="52"/>
      <c r="Q49" s="53"/>
      <c r="R49" s="53"/>
      <c r="S49" s="53"/>
      <c r="T49" s="53"/>
      <c r="U49" s="83"/>
      <c r="V49" s="84"/>
      <c r="W49" s="62"/>
      <c r="X49" s="52"/>
      <c r="Y49" s="52"/>
      <c r="Z49" s="52"/>
      <c r="AA49" s="52"/>
      <c r="AB49" s="53"/>
      <c r="AC49" s="53"/>
      <c r="AD49" s="53"/>
      <c r="AE49" s="83"/>
      <c r="AF49" s="84"/>
      <c r="AG49" s="62"/>
      <c r="AH49" s="52"/>
      <c r="AI49" s="52"/>
      <c r="AJ49" s="52"/>
      <c r="AK49" s="52"/>
      <c r="AL49" s="52"/>
      <c r="AM49" s="53"/>
      <c r="AN49" s="53"/>
      <c r="AO49" s="45"/>
    </row>
    <row r="50" spans="3:41" ht="12.75">
      <c r="C50" s="60"/>
      <c r="D50" s="51" t="str">
        <f>IF(AND(YEAR(MarSun1+35)=$A$1,MONTH(MarSun1+35)=3),MarSun1+35,"")</f>
        <v/>
      </c>
      <c r="E50" s="51" t="str">
        <f>IF(AND(YEAR(MarSun1+36)=$A$1,MONTH(MarSun1+36)=3),MarSun1+36,"")</f>
        <v/>
      </c>
      <c r="F50" s="51" t="str">
        <f>IF(AND(YEAR(MarSun1+37)=$A$1,MONTH(MarSun1+37)=3),MarSun1+37,"")</f>
        <v/>
      </c>
      <c r="G50" s="51" t="str">
        <f>IF(AND(YEAR(MarSun1+38)=$A$1,MONTH(MarSun1+38)=3),MarSun1+38,"")</f>
        <v/>
      </c>
      <c r="H50" s="51" t="str">
        <f>IF(AND(YEAR(MarSun1+39)=$A$1,MONTH(MarSun1+39)=3),MarSun1+39,"")</f>
        <v/>
      </c>
      <c r="I50" s="51" t="str">
        <f>IF(AND(YEAR(MarSun1+40)=$A$1,MONTH(MarSun1+40)=3),MarSun1+40,"")</f>
        <v/>
      </c>
      <c r="J50" s="51" t="str">
        <f>IF(AND(YEAR(MarSun1+41)=$A$1,MONTH(MarSun1+41)=3),MarSun1+41,"")</f>
        <v/>
      </c>
      <c r="K50" s="49"/>
      <c r="L50" s="16"/>
      <c r="M50" s="60"/>
      <c r="N50" s="51" t="str">
        <f>IF(AND(YEAR(JunSun1+35)=$A$1,MONTH(JunSun1+35)=6),JunSun1+35,"")</f>
        <v/>
      </c>
      <c r="O50" s="51" t="str">
        <f>IF(AND(YEAR(JunSun1+36)=$A$1,MONTH(JunSun1+36)=6),JunSun1+36,"")</f>
        <v/>
      </c>
      <c r="P50" s="51" t="str">
        <f>IF(AND(YEAR(JunSun1+37)=$A$1,MONTH(JunSun1+37)=6),JunSun1+37,"")</f>
        <v/>
      </c>
      <c r="Q50" s="51" t="str">
        <f>IF(AND(YEAR(JunSun1+38)=$A$1,MONTH(JunSun1+38)=6),JunSun1+38,"")</f>
        <v/>
      </c>
      <c r="R50" s="51" t="str">
        <f>IF(AND(YEAR(JunSun1+39)=$A$1,MONTH(JunSun1+39)=6),JunSun1+39,"")</f>
        <v/>
      </c>
      <c r="S50" s="51" t="str">
        <f>IF(AND(YEAR(JunSun1+40)=$A$1,MONTH(JunSun1+40)=6),JunSun1+40,"")</f>
        <v/>
      </c>
      <c r="T50" s="51" t="str">
        <f>IF(AND(YEAR(JunSun1+41)=$A$1,MONTH(JunSun1+41)=6),JunSun1+41,"")</f>
        <v/>
      </c>
      <c r="U50" s="49"/>
      <c r="V50" s="16"/>
      <c r="W50" s="60"/>
      <c r="X50" s="51" t="str">
        <f>IF(AND(YEAR(SepSun1+35)=$A$1,MONTH(SepSun1+35)=9),SepSun1+35,"")</f>
        <v/>
      </c>
      <c r="Y50" s="51" t="str">
        <f>IF(AND(YEAR(SepSun1+36)=$A$1,MONTH(SepSun1+36)=9),SepSun1+36,"")</f>
        <v/>
      </c>
      <c r="Z50" s="51" t="str">
        <f>IF(AND(YEAR(SepSun1+37)=$A$1,MONTH(SepSun1+37)=9),SepSun1+37,"")</f>
        <v/>
      </c>
      <c r="AA50" s="51" t="str">
        <f>IF(AND(YEAR(SepSun1+38)=$A$1,MONTH(SepSun1+38)=9),SepSun1+38,"")</f>
        <v/>
      </c>
      <c r="AB50" s="51" t="str">
        <f>IF(AND(YEAR(SepSun1+39)=$A$1,MONTH(SepSun1+39)=9),SepSun1+39,"")</f>
        <v/>
      </c>
      <c r="AC50" s="51" t="str">
        <f>IF(AND(YEAR(SepSun1+40)=$A$1,MONTH(SepSun1+40)=9),SepSun1+40,"")</f>
        <v/>
      </c>
      <c r="AD50" s="51" t="str">
        <f>IF(AND(YEAR(SepSun1+41)=$A$1,MONTH(SepSun1+41)=9),SepSun1+41,"")</f>
        <v/>
      </c>
      <c r="AE50" s="49"/>
      <c r="AF50" s="16"/>
      <c r="AG50" s="60"/>
      <c r="AH50" s="51" t="str">
        <f>IF(AND(YEAR(DecSun1+35)=$A$1,MONTH(DecSun1+35)=12),DecSun1+35,"")</f>
        <v/>
      </c>
      <c r="AI50" s="51" t="str">
        <f>IF(AND(YEAR(DecSun1+36)=$A$1,MONTH(DecSun1+36)=12),DecSun1+36,"")</f>
        <v/>
      </c>
      <c r="AJ50" s="51" t="str">
        <f>IF(AND(YEAR(DecSun1+37)=$A$1,MONTH(DecSun1+37)=12),DecSun1+37,"")</f>
        <v/>
      </c>
      <c r="AK50" s="51" t="str">
        <f>IF(AND(YEAR(DecSun1+38)=$A$1,MONTH(DecSun1+38)=12),DecSun1+38,"")</f>
        <v/>
      </c>
      <c r="AL50" s="51" t="str">
        <f>IF(AND(YEAR(DecSun1+39)=$A$1,MONTH(DecSun1+39)=12),DecSun1+39,"")</f>
        <v/>
      </c>
      <c r="AM50" s="51" t="str">
        <f>IF(AND(YEAR(DecSun1+40)=$A$1,MONTH(DecSun1+40)=12),DecSun1+40,"")</f>
        <v/>
      </c>
      <c r="AN50" s="51" t="str">
        <f>IF(AND(YEAR(DecSun1+41)=$A$1,MONTH(DecSun1+41)=12),DecSun1+41,"")</f>
        <v/>
      </c>
      <c r="AO50" s="44"/>
    </row>
    <row r="51" spans="3:41" ht="12.75">
      <c r="C51" s="74"/>
      <c r="D51" s="53"/>
      <c r="E51" s="53"/>
      <c r="F51" s="53"/>
      <c r="G51" s="53"/>
      <c r="H51" s="53"/>
      <c r="I51" s="53"/>
      <c r="J51" s="53"/>
      <c r="K51" s="55" t="s">
        <v>21</v>
      </c>
      <c r="L51" s="16"/>
      <c r="M51" s="74"/>
      <c r="N51" s="53"/>
      <c r="O51" s="53"/>
      <c r="P51" s="53"/>
      <c r="Q51" s="53"/>
      <c r="R51" s="53"/>
      <c r="S51" s="53"/>
      <c r="T51" s="53"/>
      <c r="U51" s="55" t="s">
        <v>21</v>
      </c>
      <c r="V51" s="16"/>
      <c r="W51" s="74"/>
      <c r="X51" s="53"/>
      <c r="Y51" s="53"/>
      <c r="Z51" s="53"/>
      <c r="AA51" s="53"/>
      <c r="AB51" s="53"/>
      <c r="AC51" s="53"/>
      <c r="AD51" s="53"/>
      <c r="AE51" s="55" t="s">
        <v>21</v>
      </c>
      <c r="AF51" s="16"/>
      <c r="AG51" s="62"/>
      <c r="AH51" s="53"/>
      <c r="AI51" s="53"/>
      <c r="AJ51" s="53"/>
      <c r="AK51" s="53"/>
      <c r="AL51" s="53"/>
      <c r="AM51" s="53"/>
      <c r="AN51" s="53"/>
      <c r="AO51" s="55" t="s">
        <v>21</v>
      </c>
    </row>
    <row r="52" spans="3:41" ht="15.75" customHeight="1" thickBot="1">
      <c r="C52" s="65" t="s">
        <v>35</v>
      </c>
      <c r="D52" s="110">
        <f>COUNTIF(D43:J43,"AC")+COUNTIF(D45:J45,"AC")+COUNTIF(D47:J47,"AC")+COUNTIF(D49:J49,"AC")+COUNTIF(D51:J51,"AC")+COUNTIF(D41:J41,"AC")</f>
        <v>0</v>
      </c>
      <c r="E52" s="111" t="s">
        <v>2</v>
      </c>
      <c r="F52" s="110">
        <f>COUNTIF(D43:J43,"T")+COUNTIF(D45:J45,"T")+COUNTIF(D47:J47,"T")+COUNTIF(D49:J49,"T")+COUNTIF(D51:J51,"T")+COUNTIF(D41:J41,"T")</f>
        <v>0</v>
      </c>
      <c r="G52" s="111" t="s">
        <v>20</v>
      </c>
      <c r="H52" s="110">
        <f>COUNTIF(D43:J43,"MP")+COUNTIF(D45:J45,"MP")+COUNTIF(D47:J47,"MP")+COUNTIF(D49:J49,"MP")+COUNTIF(D51:J51,"MP")+COUNTIF(D41:J41,"MP")</f>
        <v>0</v>
      </c>
      <c r="I52" s="111" t="s">
        <v>22</v>
      </c>
      <c r="J52" s="110">
        <f>COUNTIF(D43:J43,"A")+COUNTIF(D45:J45,"A")+COUNTIF(D47:J47,"A")+COUNTIF(D49:J49,"A")+COUNTIF(D51:J51,"A")+COUNTIF(D41:J41,"A")</f>
        <v>0</v>
      </c>
      <c r="K52" s="54">
        <f>SUM((F52*0.5)+(H52*0.5)+(J52))</f>
        <v>0</v>
      </c>
      <c r="L52" s="85"/>
      <c r="M52" s="65" t="s">
        <v>35</v>
      </c>
      <c r="N52" s="110">
        <f>COUNTIF(N43:T43,"AC")+COUNTIF(N45:T45,"AC")+COUNTIF(N47:T47,"AC")+COUNTIF(N49:T49,"AC")+COUNTIF(N51:T51,"AC")+COUNTIF(N41:T41,"AC")</f>
        <v>0</v>
      </c>
      <c r="O52" s="111" t="s">
        <v>2</v>
      </c>
      <c r="P52" s="110">
        <f>COUNTIF(N43:T43,"T")+COUNTIF(N45:T45,"T")+COUNTIF(N47:T47,"T")+COUNTIF(N49:T49,"T")+COUNTIF(N51:T51,"T")+COUNTIF(N41:T41,"T")</f>
        <v>0</v>
      </c>
      <c r="Q52" s="111" t="s">
        <v>20</v>
      </c>
      <c r="R52" s="110">
        <f>COUNTIF(N43:T43,"MP")+COUNTIF(N45:T45,"MP")+COUNTIF(N47:T47,"MP")+COUNTIF(N49:T49,"MP")+COUNTIF(N51:T51,"MP")+COUNTIF(N41:T41,"MP")</f>
        <v>0</v>
      </c>
      <c r="S52" s="111" t="s">
        <v>22</v>
      </c>
      <c r="T52" s="110">
        <f>COUNTIF(N43:T43,"A")+COUNTIF(N45:T45,"A")+COUNTIF(N47:T47,"A")+COUNTIF(N49:T49,"A")+COUNTIF(N51:T51,"A")+COUNTIF(N41:T41,"A")</f>
        <v>0</v>
      </c>
      <c r="U52" s="54">
        <f>SUM((P52*0.5)+(R52*0.5)+(T52))</f>
        <v>0</v>
      </c>
      <c r="V52" s="85"/>
      <c r="W52" s="65" t="s">
        <v>35</v>
      </c>
      <c r="X52" s="110">
        <f>COUNTIF(X43:AD43,"AC")+COUNTIF(X45:AD45,"AC")+COUNTIF(X47:AD47,"AC")+COUNTIF(X49:AD49,"AC")+COUNTIF(X51:AD51,"AC")+COUNTIF(X41:AD41,"AC")</f>
        <v>0</v>
      </c>
      <c r="Y52" s="111" t="s">
        <v>2</v>
      </c>
      <c r="Z52" s="110">
        <f>COUNTIF(X43:AD43,"T")+COUNTIF(X45:AD45,"T")+COUNTIF(X47:AD47,"T")+COUNTIF(X49:AD49,"T")+COUNTIF(X51:AD51,"T")+COUNTIF(X41:AD41,"T")</f>
        <v>0</v>
      </c>
      <c r="AA52" s="111" t="s">
        <v>20</v>
      </c>
      <c r="AB52" s="110">
        <f>COUNTIF(X43:AD43,"MP")+COUNTIF(X45:AD45,"MP")+COUNTIF(X47:AD47,"MP")+COUNTIF(X49:AD49,"MP")+COUNTIF(X51:AD51,"MP")+COUNTIF(X41:AD41,"MP")</f>
        <v>0</v>
      </c>
      <c r="AC52" s="111" t="s">
        <v>22</v>
      </c>
      <c r="AD52" s="110">
        <f>COUNTIF(X43:AD43,"A")+COUNTIF(X45:AD45,"A")+COUNTIF(X47:AD47,"A")+COUNTIF(X49:AD49,"A")+COUNTIF(X51:AD51,"A")+COUNTIF(X41:AD41,"A")</f>
        <v>0</v>
      </c>
      <c r="AE52" s="54">
        <f>SUM((Z52*0.5)+(AB52*0.5)+(AD52))</f>
        <v>0</v>
      </c>
      <c r="AF52" s="85"/>
      <c r="AG52" s="65" t="s">
        <v>35</v>
      </c>
      <c r="AH52" s="110">
        <f>COUNTIF(AH43:AN43,"AC")+COUNTIF(AH45:AN45,"AC")+COUNTIF(AH47:AN47,"AC")+COUNTIF(AH49:AN49,"AC")+COUNTIF(AH51:AN51,"AC")+COUNTIF(AH41:AN41,"AC")</f>
        <v>0</v>
      </c>
      <c r="AI52" s="111" t="s">
        <v>2</v>
      </c>
      <c r="AJ52" s="110">
        <f>COUNTIF(AH43:AN43,"T")+COUNTIF(AH45:AN45,"T")+COUNTIF(AH47:AN47,"T")+COUNTIF(AH49:AN49,"T")+COUNTIF(AH51:AN51,"T")+COUNTIF(AH41:AN41,"T")</f>
        <v>0</v>
      </c>
      <c r="AK52" s="111" t="s">
        <v>20</v>
      </c>
      <c r="AL52" s="110">
        <f>COUNTIF(AH43:AN43,"MP")+COUNTIF(AH45:AN45,"MP")+COUNTIF(AH47:AN47,"MP")+COUNTIF(AH49:AN49,"MP")+COUNTIF(AH51:AN51,"MP")+COUNTIF(AH41:AN41,"MP")</f>
        <v>0</v>
      </c>
      <c r="AM52" s="111" t="s">
        <v>22</v>
      </c>
      <c r="AN52" s="110">
        <f>COUNTIF(AH43:AN43,"A")+COUNTIF(AH45:AN45,"A")+COUNTIF(AH47:AN47,"A")+COUNTIF(AH49:AN49,"A")+COUNTIF(AH51:AN51,"A")+COUNTIF(AH41:AN41,"A")</f>
        <v>0</v>
      </c>
      <c r="AO52" s="54">
        <f>SUM((AJ52*0.5)+(AL52*0.5)+(AN52))</f>
        <v>0</v>
      </c>
    </row>
    <row r="53" spans="3:40" ht="15.75" thickTop="1">
      <c r="C53" s="75"/>
      <c r="D53" s="75"/>
      <c r="E53" s="75"/>
      <c r="F53" s="75"/>
      <c r="G53" s="75"/>
      <c r="H53" s="75"/>
      <c r="I53" s="75"/>
      <c r="J53" s="75"/>
      <c r="K53" s="118"/>
      <c r="L53" s="119"/>
      <c r="N53" s="75"/>
      <c r="O53" s="75"/>
      <c r="P53" s="75"/>
      <c r="Q53" s="75"/>
      <c r="R53" s="75"/>
      <c r="S53" s="75"/>
      <c r="T53" s="75"/>
      <c r="U53" s="118"/>
      <c r="V53" s="119"/>
      <c r="X53" s="75"/>
      <c r="Y53" s="75"/>
      <c r="Z53" s="75"/>
      <c r="AA53" s="75"/>
      <c r="AB53" s="75"/>
      <c r="AC53" s="75"/>
      <c r="AD53" s="75"/>
      <c r="AE53" s="118"/>
      <c r="AF53" s="119"/>
      <c r="AH53" s="75"/>
      <c r="AI53" s="75"/>
      <c r="AJ53" s="75"/>
      <c r="AK53" s="75"/>
      <c r="AL53" s="75"/>
      <c r="AM53" s="75"/>
      <c r="AN53" s="75"/>
    </row>
    <row r="54" spans="3:40" ht="15.75" customHeight="1">
      <c r="C54" s="75"/>
      <c r="D54" s="75"/>
      <c r="E54" s="75"/>
      <c r="F54" s="75"/>
      <c r="G54" s="75"/>
      <c r="H54" s="75"/>
      <c r="I54" s="75"/>
      <c r="J54" s="75"/>
      <c r="K54" s="118"/>
      <c r="L54" s="119"/>
      <c r="N54" s="75"/>
      <c r="O54" s="75"/>
      <c r="P54" s="75"/>
      <c r="Q54" s="75"/>
      <c r="R54" s="75"/>
      <c r="S54" s="75"/>
      <c r="T54" s="75"/>
      <c r="U54" s="118"/>
      <c r="V54" s="119"/>
      <c r="X54" s="75"/>
      <c r="Y54" s="75"/>
      <c r="Z54" s="75"/>
      <c r="AA54" s="75"/>
      <c r="AB54" s="75"/>
      <c r="AC54" s="75"/>
      <c r="AD54" s="75"/>
      <c r="AE54" s="118"/>
      <c r="AF54" s="119"/>
      <c r="AH54" s="75"/>
      <c r="AI54" s="75"/>
      <c r="AJ54" s="75"/>
      <c r="AK54" s="75"/>
      <c r="AL54" s="75"/>
      <c r="AM54" s="75"/>
      <c r="AN54" s="75"/>
    </row>
    <row r="55" spans="3:40" ht="12.75">
      <c r="C55" s="75"/>
      <c r="D55" s="75"/>
      <c r="E55" s="75"/>
      <c r="F55" s="75"/>
      <c r="G55" s="75"/>
      <c r="H55" s="75"/>
      <c r="I55" s="75"/>
      <c r="J55" s="75"/>
      <c r="K55" s="118"/>
      <c r="L55" s="119"/>
      <c r="N55" s="75"/>
      <c r="O55" s="75"/>
      <c r="P55" s="75"/>
      <c r="Q55" s="75"/>
      <c r="R55" s="75"/>
      <c r="S55" s="75"/>
      <c r="T55" s="75"/>
      <c r="U55" s="118"/>
      <c r="V55" s="119"/>
      <c r="X55" s="75"/>
      <c r="Y55" s="75"/>
      <c r="Z55" s="75"/>
      <c r="AA55" s="75"/>
      <c r="AB55" s="75"/>
      <c r="AC55" s="75"/>
      <c r="AD55" s="75"/>
      <c r="AE55" s="118"/>
      <c r="AF55" s="119"/>
      <c r="AH55" s="75"/>
      <c r="AI55" s="75"/>
      <c r="AJ55" s="75"/>
      <c r="AK55" s="75"/>
      <c r="AL55" s="75"/>
      <c r="AM55" s="75"/>
      <c r="AN55" s="75"/>
    </row>
    <row r="56" spans="3:40" ht="12.75">
      <c r="C56" s="75"/>
      <c r="D56" s="75"/>
      <c r="E56" s="75"/>
      <c r="F56" s="75"/>
      <c r="G56" s="75"/>
      <c r="H56" s="75"/>
      <c r="I56" s="75"/>
      <c r="J56" s="75"/>
      <c r="K56" s="118"/>
      <c r="L56" s="119"/>
      <c r="N56" s="75"/>
      <c r="O56" s="75"/>
      <c r="P56" s="75"/>
      <c r="Q56" s="75"/>
      <c r="R56" s="75"/>
      <c r="S56" s="75"/>
      <c r="T56" s="75"/>
      <c r="U56" s="118"/>
      <c r="V56" s="119"/>
      <c r="X56" s="75"/>
      <c r="Y56" s="75"/>
      <c r="Z56" s="75"/>
      <c r="AA56" s="75"/>
      <c r="AB56" s="75"/>
      <c r="AC56" s="75"/>
      <c r="AD56" s="75"/>
      <c r="AE56" s="118"/>
      <c r="AF56" s="119"/>
      <c r="AH56" s="75"/>
      <c r="AI56" s="75"/>
      <c r="AJ56" s="75"/>
      <c r="AK56" s="75"/>
      <c r="AL56" s="75"/>
      <c r="AM56" s="75"/>
      <c r="AN56" s="75"/>
    </row>
  </sheetData>
  <sheetProtection algorithmName="SHA-512" hashValue="MxHGuDBKcR1jS9CaujpY1JPJ6IBpXPNn58AtcG6j6RIecyC4oDA5u+04FqyE8kNrRnTIYBGV8X0p2T16p2EpJg==" saltValue="txtXSVEXn8fXIrs9pOTIHA==" spinCount="100000" sheet="1" objects="1" scenarios="1" selectLockedCells="1"/>
  <mergeCells count="25">
    <mergeCell ref="AD1:AN1"/>
    <mergeCell ref="I1:T1"/>
    <mergeCell ref="X4:AD4"/>
    <mergeCell ref="AH4:AN4"/>
    <mergeCell ref="X21:AD21"/>
    <mergeCell ref="AH21:AN21"/>
    <mergeCell ref="X38:AD38"/>
    <mergeCell ref="AH38:AN38"/>
    <mergeCell ref="D4:J4"/>
    <mergeCell ref="D21:J21"/>
    <mergeCell ref="D38:J38"/>
    <mergeCell ref="N4:T4"/>
    <mergeCell ref="N21:T21"/>
    <mergeCell ref="N38:T38"/>
    <mergeCell ref="AT17:AU17"/>
    <mergeCell ref="AT12:AU12"/>
    <mergeCell ref="AT14:AU14"/>
    <mergeCell ref="AT15:AU15"/>
    <mergeCell ref="AT18:AU18"/>
    <mergeCell ref="AT13:AU13"/>
    <mergeCell ref="AT19:AU19"/>
    <mergeCell ref="AT20:AU20"/>
    <mergeCell ref="AT25:AU25"/>
    <mergeCell ref="AT26:AU26"/>
    <mergeCell ref="AT27:AU27"/>
  </mergeCells>
  <conditionalFormatting sqref="AW10">
    <cfRule type="cellIs" priority="12" dxfId="3" operator="greaterThanOrEqual">
      <formula>10</formula>
    </cfRule>
    <cfRule type="cellIs" priority="13" dxfId="2" operator="between">
      <formula>8</formula>
      <formula>9.5</formula>
    </cfRule>
    <cfRule type="cellIs" priority="14" dxfId="12" operator="between">
      <formula>6</formula>
      <formula>7.5</formula>
    </cfRule>
    <cfRule type="cellIs" priority="15" dxfId="11" operator="between">
      <formula>4</formula>
      <formula>5.5</formula>
    </cfRule>
  </conditionalFormatting>
  <conditionalFormatting sqref="AR19">
    <cfRule type="cellIs" priority="8" dxfId="3" operator="greaterThanOrEqual">
      <formula>15</formula>
    </cfRule>
    <cfRule type="cellIs" priority="9" dxfId="2" operator="between">
      <formula>12</formula>
      <formula>14.5</formula>
    </cfRule>
    <cfRule type="cellIs" priority="10" dxfId="1" operator="between">
      <formula>9</formula>
      <formula>11.5</formula>
    </cfRule>
    <cfRule type="cellIs" priority="11" dxfId="0" operator="between">
      <formula>6</formula>
      <formula>8.5</formula>
    </cfRule>
  </conditionalFormatting>
  <conditionalFormatting sqref="AR26">
    <cfRule type="cellIs" priority="5" dxfId="3" operator="equal">
      <formula>$AS$27</formula>
    </cfRule>
    <cfRule type="cellIs" priority="6" dxfId="2" operator="equal">
      <formula>$AS$26</formula>
    </cfRule>
    <cfRule type="cellIs" priority="7" dxfId="1" operator="equal">
      <formula>$AS$25</formula>
    </cfRule>
  </conditionalFormatting>
  <conditionalFormatting sqref="AR13">
    <cfRule type="cellIs" priority="1" dxfId="3" operator="greaterThanOrEqual">
      <formula>10</formula>
    </cfRule>
    <cfRule type="cellIs" priority="2" dxfId="2" operator="between">
      <formula>8</formula>
      <formula>9.5</formula>
    </cfRule>
    <cfRule type="cellIs" priority="3" dxfId="1" operator="between">
      <formula>6</formula>
      <formula>7.5</formula>
    </cfRule>
    <cfRule type="cellIs" priority="4" dxfId="0" operator="between">
      <formula>4</formula>
      <formula>5.5</formula>
    </cfRule>
  </conditionalFormatting>
  <dataValidations count="5">
    <dataValidation type="whole" allowBlank="1" showInputMessage="1" showErrorMessage="1" sqref="A1:C3">
      <formula1>1900</formula1>
      <formula2>9999</formula2>
    </dataValidation>
    <dataValidation type="list" allowBlank="1" showInputMessage="1" showErrorMessage="1" sqref="K7:L7 K9:L9 K11:L11 K13:L13">
      <formula1>$AS$5:$AU$5</formula1>
    </dataValidation>
    <dataValidation type="list" allowBlank="1" showInputMessage="1" showErrorMessage="1" sqref="A7:B7">
      <formula1>$AZ$4:$AZ$24</formula1>
    </dataValidation>
    <dataValidation type="list" allowBlank="1" showInputMessage="1" showErrorMessage="1" sqref="AH15:AN15 AH13:AN13 X17:AD17 D9:J9 D11:J11 D13:J13 N24:T24 D24:J24 D26:J26 D32:J32 D30:J30 D41:J41 D43:J43 D45:J45 D47:J47 D51:J51 N51:T51 D49:J49 N49:T49 N47:T47 N45:T45 N43:T43 X34:AD34 N30:T30 N28:T28 N26:T26 N13:T13 N11:T11 N9:T9 N7:T7 D15:J15 X9:AD9 X11:AD11 X13:AD13 X15:AC15 D7:J7 AH24:AN24 X24:AD24 X26:AD26 X32:AD32 N41:T41 X41:AD41 X43:AD43 X45:AD45 X47:AD47 AH47:AN47 AH45:AN45 AH43:AN43 AH41:AN41 X49:AD49 AH34:AN34 AH30:AN30 AH28:AN28 AH26:AN26 AH17:AN17 AH11:AN11 AH9:AN9 AH7:AN7 X7:AD7 X51:AD51 AH51:AN51 N17:T17 D28:J28 N34:T34 N32:T32 X28:AD28 X30:AD30 D17:J17 AH32:AN32 N15:T15 AH49:AN49">
      <formula1>$AS$5:$AX$5</formula1>
    </dataValidation>
    <dataValidation type="list" allowBlank="1" showInputMessage="1" showErrorMessage="1" sqref="A12:B12">
      <formula1>$AZ$4:$AZ$34</formula1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showGridLines="0" workbookViewId="0" topLeftCell="A1">
      <selection activeCell="Y32" sqref="Y32"/>
    </sheetView>
  </sheetViews>
  <sheetFormatPr defaultColWidth="9.140625" defaultRowHeight="12.75"/>
  <cols>
    <col min="1" max="1" width="15.421875" style="2" bestFit="1" customWidth="1"/>
    <col min="2" max="2" width="1.7109375" style="73" customWidth="1"/>
    <col min="3" max="5" width="3.7109375" style="2" customWidth="1"/>
    <col min="6" max="6" width="3.57421875" style="2" customWidth="1"/>
    <col min="7" max="10" width="3.7109375" style="2" customWidth="1"/>
    <col min="11" max="11" width="5.7109375" style="72" customWidth="1"/>
    <col min="12" max="12" width="1.7109375" style="73" customWidth="1"/>
    <col min="13" max="20" width="3.7109375" style="2" customWidth="1"/>
    <col min="21" max="21" width="5.7109375" style="72" customWidth="1"/>
    <col min="22" max="22" width="1.7109375" style="73" customWidth="1"/>
    <col min="23" max="30" width="3.7109375" style="2" customWidth="1"/>
    <col min="31" max="31" width="5.7109375" style="72" customWidth="1"/>
    <col min="32" max="32" width="1.7109375" style="73" customWidth="1"/>
    <col min="33" max="40" width="3.7109375" style="2" customWidth="1"/>
    <col min="41" max="41" width="5.7109375" style="42" customWidth="1"/>
    <col min="42" max="42" width="1.7109375" style="2" customWidth="1"/>
    <col min="43" max="43" width="3.7109375" style="2" customWidth="1"/>
    <col min="44" max="44" width="17.421875" style="2" customWidth="1"/>
    <col min="45" max="45" width="9.00390625" style="2" customWidth="1"/>
    <col min="46" max="46" width="6.421875" style="2" customWidth="1"/>
    <col min="47" max="47" width="7.7109375" style="2" customWidth="1"/>
    <col min="48" max="48" width="14.28125" style="2" customWidth="1"/>
    <col min="49" max="49" width="9.140625" style="2" customWidth="1"/>
    <col min="50" max="50" width="9.8515625" style="2" customWidth="1"/>
    <col min="51" max="51" width="9.140625" style="2" customWidth="1"/>
    <col min="52" max="52" width="9.140625" style="2" hidden="1" customWidth="1"/>
    <col min="53" max="16384" width="9.140625" style="2" customWidth="1"/>
  </cols>
  <sheetData>
    <row r="1" spans="1:40" ht="26.25">
      <c r="A1" s="92">
        <v>2017</v>
      </c>
      <c r="B1" s="56"/>
      <c r="D1" s="93"/>
      <c r="E1" s="93"/>
      <c r="F1" s="94" t="s">
        <v>25</v>
      </c>
      <c r="G1" s="95"/>
      <c r="H1" s="95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98"/>
      <c r="V1" s="89"/>
      <c r="W1" s="93"/>
      <c r="X1" s="93"/>
      <c r="Y1" s="94" t="s">
        <v>41</v>
      </c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</row>
    <row r="2" spans="1:40" ht="5.25" customHeight="1" thickBot="1">
      <c r="A2" s="92"/>
      <c r="B2" s="56"/>
      <c r="D2" s="93"/>
      <c r="E2" s="93"/>
      <c r="F2" s="94"/>
      <c r="G2" s="95"/>
      <c r="H2" s="95"/>
      <c r="I2" s="96"/>
      <c r="J2" s="96"/>
      <c r="K2" s="97"/>
      <c r="L2" s="97"/>
      <c r="M2" s="97"/>
      <c r="N2" s="96"/>
      <c r="O2" s="96"/>
      <c r="P2" s="96"/>
      <c r="Q2" s="96"/>
      <c r="R2" s="96"/>
      <c r="S2" s="96"/>
      <c r="T2" s="96"/>
      <c r="U2" s="98"/>
      <c r="V2" s="89"/>
      <c r="W2" s="93"/>
      <c r="X2" s="93"/>
      <c r="Y2" s="94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50" ht="15.95" customHeight="1" thickTop="1">
      <c r="A3" s="92"/>
      <c r="B3" s="56"/>
      <c r="C3" s="57"/>
      <c r="D3" s="100"/>
      <c r="E3" s="100"/>
      <c r="F3" s="101"/>
      <c r="G3" s="100"/>
      <c r="H3" s="100"/>
      <c r="I3" s="102"/>
      <c r="J3" s="102"/>
      <c r="K3" s="76"/>
      <c r="L3" s="77"/>
      <c r="M3" s="78"/>
      <c r="N3" s="102"/>
      <c r="O3" s="102"/>
      <c r="P3" s="102"/>
      <c r="Q3" s="102"/>
      <c r="R3" s="102"/>
      <c r="S3" s="102"/>
      <c r="T3" s="102"/>
      <c r="U3" s="76"/>
      <c r="V3" s="89"/>
      <c r="W3" s="78"/>
      <c r="X3" s="100"/>
      <c r="Y3" s="100"/>
      <c r="Z3" s="103"/>
      <c r="AA3" s="103"/>
      <c r="AB3" s="103"/>
      <c r="AC3" s="103"/>
      <c r="AD3" s="103"/>
      <c r="AE3" s="90"/>
      <c r="AG3" s="57"/>
      <c r="AH3" s="103"/>
      <c r="AI3" s="103"/>
      <c r="AJ3" s="103"/>
      <c r="AK3" s="103"/>
      <c r="AL3" s="103"/>
      <c r="AM3" s="103"/>
      <c r="AN3" s="103"/>
      <c r="AO3" s="104"/>
      <c r="AR3" s="35" t="s">
        <v>34</v>
      </c>
      <c r="AS3" s="35" t="s">
        <v>47</v>
      </c>
      <c r="AT3" s="35"/>
      <c r="AU3" s="37"/>
      <c r="AV3" s="37" t="s">
        <v>19</v>
      </c>
      <c r="AW3" s="35"/>
      <c r="AX3" s="35" t="s">
        <v>49</v>
      </c>
    </row>
    <row r="4" spans="1:52" ht="15.95" customHeight="1">
      <c r="A4" s="105" t="s">
        <v>24</v>
      </c>
      <c r="B4" s="58"/>
      <c r="C4" s="59"/>
      <c r="D4" s="136" t="s">
        <v>5</v>
      </c>
      <c r="E4" s="137"/>
      <c r="F4" s="137"/>
      <c r="G4" s="137"/>
      <c r="H4" s="137"/>
      <c r="I4" s="138"/>
      <c r="J4" s="139"/>
      <c r="K4" s="79"/>
      <c r="L4" s="80"/>
      <c r="M4" s="59"/>
      <c r="N4" s="140" t="s">
        <v>8</v>
      </c>
      <c r="O4" s="138"/>
      <c r="P4" s="138"/>
      <c r="Q4" s="138"/>
      <c r="R4" s="138"/>
      <c r="S4" s="138"/>
      <c r="T4" s="139"/>
      <c r="U4" s="79"/>
      <c r="V4" s="80"/>
      <c r="W4" s="59"/>
      <c r="X4" s="136" t="s">
        <v>11</v>
      </c>
      <c r="Y4" s="137"/>
      <c r="Z4" s="137"/>
      <c r="AA4" s="137"/>
      <c r="AB4" s="137"/>
      <c r="AC4" s="137"/>
      <c r="AD4" s="143"/>
      <c r="AE4" s="79"/>
      <c r="AF4" s="80"/>
      <c r="AG4" s="59"/>
      <c r="AH4" s="136" t="s">
        <v>13</v>
      </c>
      <c r="AI4" s="137"/>
      <c r="AJ4" s="137"/>
      <c r="AK4" s="137"/>
      <c r="AL4" s="137"/>
      <c r="AM4" s="137"/>
      <c r="AN4" s="143"/>
      <c r="AO4" s="43"/>
      <c r="AR4" s="36"/>
      <c r="AS4" s="36" t="s">
        <v>46</v>
      </c>
      <c r="AT4" s="36" t="s">
        <v>18</v>
      </c>
      <c r="AU4" s="38" t="s">
        <v>19</v>
      </c>
      <c r="AV4" s="38" t="s">
        <v>48</v>
      </c>
      <c r="AW4" s="36" t="s">
        <v>26</v>
      </c>
      <c r="AX4" s="36" t="s">
        <v>50</v>
      </c>
      <c r="AZ4" s="18">
        <v>0</v>
      </c>
    </row>
    <row r="5" spans="1:52" s="3" customFormat="1" ht="15.95" customHeight="1">
      <c r="A5" s="106" t="s">
        <v>36</v>
      </c>
      <c r="B5" s="58"/>
      <c r="C5" s="60"/>
      <c r="D5" s="107" t="s">
        <v>0</v>
      </c>
      <c r="E5" s="107" t="s">
        <v>1</v>
      </c>
      <c r="F5" s="107" t="s">
        <v>2</v>
      </c>
      <c r="G5" s="107" t="s">
        <v>3</v>
      </c>
      <c r="H5" s="107" t="s">
        <v>2</v>
      </c>
      <c r="I5" s="107" t="s">
        <v>4</v>
      </c>
      <c r="J5" s="107" t="s">
        <v>0</v>
      </c>
      <c r="K5" s="81"/>
      <c r="L5" s="82"/>
      <c r="M5" s="60"/>
      <c r="N5" s="107" t="s">
        <v>0</v>
      </c>
      <c r="O5" s="107" t="s">
        <v>1</v>
      </c>
      <c r="P5" s="107" t="s">
        <v>2</v>
      </c>
      <c r="Q5" s="107" t="s">
        <v>3</v>
      </c>
      <c r="R5" s="107" t="s">
        <v>2</v>
      </c>
      <c r="S5" s="107" t="s">
        <v>4</v>
      </c>
      <c r="T5" s="107" t="s">
        <v>0</v>
      </c>
      <c r="U5" s="81"/>
      <c r="V5" s="82"/>
      <c r="W5" s="60"/>
      <c r="X5" s="107" t="s">
        <v>0</v>
      </c>
      <c r="Y5" s="107" t="s">
        <v>1</v>
      </c>
      <c r="Z5" s="107" t="s">
        <v>2</v>
      </c>
      <c r="AA5" s="107" t="s">
        <v>3</v>
      </c>
      <c r="AB5" s="107" t="s">
        <v>2</v>
      </c>
      <c r="AC5" s="107" t="s">
        <v>4</v>
      </c>
      <c r="AD5" s="107" t="s">
        <v>0</v>
      </c>
      <c r="AE5" s="81"/>
      <c r="AF5" s="82"/>
      <c r="AG5" s="60"/>
      <c r="AH5" s="107" t="s">
        <v>0</v>
      </c>
      <c r="AI5" s="107" t="s">
        <v>1</v>
      </c>
      <c r="AJ5" s="107" t="s">
        <v>2</v>
      </c>
      <c r="AK5" s="107" t="s">
        <v>3</v>
      </c>
      <c r="AL5" s="107" t="s">
        <v>2</v>
      </c>
      <c r="AM5" s="107" t="s">
        <v>4</v>
      </c>
      <c r="AN5" s="107" t="s">
        <v>0</v>
      </c>
      <c r="AO5" s="44"/>
      <c r="AR5" s="19" t="s">
        <v>33</v>
      </c>
      <c r="AS5" s="4" t="s">
        <v>20</v>
      </c>
      <c r="AT5" s="4" t="s">
        <v>2</v>
      </c>
      <c r="AU5" s="4" t="s">
        <v>22</v>
      </c>
      <c r="AV5" s="4" t="s">
        <v>35</v>
      </c>
      <c r="AW5" s="4" t="s">
        <v>31</v>
      </c>
      <c r="AX5" s="4" t="s">
        <v>39</v>
      </c>
      <c r="AZ5" s="6">
        <v>0.5</v>
      </c>
    </row>
    <row r="6" spans="1:52" s="3" customFormat="1" ht="15.95" customHeight="1">
      <c r="A6" s="108" t="s">
        <v>45</v>
      </c>
      <c r="B6" s="58"/>
      <c r="C6" s="60"/>
      <c r="D6" s="51" t="str">
        <f>IF(AND(YEAR(JanSun1)=$A$1,MONTH(JanSun1)=1),JanSun1,"")</f>
        <v/>
      </c>
      <c r="E6" s="51" t="str">
        <f>IF(AND(YEAR(JanSun1+1)=$A$1,MONTH(JanSun1+1)=1),JanSun1+1,"")</f>
        <v/>
      </c>
      <c r="F6" s="51" t="str">
        <f>IF(AND(YEAR(JanSun1+2)=$A$1,MONTH(JanSun1+2)=1),JanSun1+2,"")</f>
        <v/>
      </c>
      <c r="G6" s="51" t="str">
        <f>IF(AND(YEAR(JanSun1+3)=$A$1,MONTH(JanSun1+3)=1),JanSun1+3,"")</f>
        <v/>
      </c>
      <c r="H6" s="51" t="str">
        <f>IF(AND(YEAR(JanSun1+4)=$A$1,MONTH(JanSun1+4)=1),JanSun1+4,"")</f>
        <v/>
      </c>
      <c r="I6" s="51">
        <f>IF(AND(YEAR(JanSun1+5)=$A$1,MONTH(JanSun1+5)=1),JanSun1+5,"")</f>
        <v>42370</v>
      </c>
      <c r="J6" s="51">
        <f>IF(AND(YEAR(JanSun1+6)=$A$1,MONTH(JanSun1+6)=1),JanSun1+6,"")</f>
        <v>42371</v>
      </c>
      <c r="K6" s="49"/>
      <c r="L6" s="16"/>
      <c r="M6" s="60"/>
      <c r="N6" s="51" t="str">
        <f>IF(AND(YEAR(AprSun1)=$A$1,MONTH(AprSun1)=4),AprSun1,"")</f>
        <v/>
      </c>
      <c r="O6" s="51" t="str">
        <f>IF(AND(YEAR(AprSun1+1)=$A$1,MONTH(AprSun1+1)=4),AprSun1+1,"")</f>
        <v/>
      </c>
      <c r="P6" s="51" t="str">
        <f>IF(AND(YEAR(AprSun1+2)=$A$1,MONTH(AprSun1+2)=4),AprSun1+2,"")</f>
        <v/>
      </c>
      <c r="Q6" s="51" t="str">
        <f>IF(AND(YEAR(AprSun1+3)=$A$1,MONTH(AprSun1+3)=4),AprSun1+3,"")</f>
        <v/>
      </c>
      <c r="R6" s="51" t="str">
        <f>IF(AND(YEAR(AprSun1+4)=$A$1,MONTH(AprSun1+4)=4),AprSun1+4,"")</f>
        <v/>
      </c>
      <c r="S6" s="51">
        <f>IF(AND(YEAR(AprSun1+5)=$A$1,MONTH(AprSun1+5)=4),AprSun1+5,"")</f>
        <v>42461</v>
      </c>
      <c r="T6" s="51">
        <f>IF(AND(YEAR(AprSun1+6)=$A$1,MONTH(AprSun1+6)=4),AprSun1+6,"")</f>
        <v>42462</v>
      </c>
      <c r="U6" s="49"/>
      <c r="V6" s="16"/>
      <c r="W6" s="60"/>
      <c r="X6" s="51" t="str">
        <f>IF(AND(YEAR(JulSun1)=$A$1,MONTH(JulSun1)=7),JulSun1,"")</f>
        <v/>
      </c>
      <c r="Y6" s="51" t="str">
        <f>IF(AND(YEAR(JulSun1+1)=$A$1,MONTH(JulSun1+1)=7),JulSun1+1,"")</f>
        <v/>
      </c>
      <c r="Z6" s="51" t="str">
        <f>IF(AND(YEAR(JulSun1+2)=$A$1,MONTH(JulSun1+2)=7),JulSun1+2,"")</f>
        <v/>
      </c>
      <c r="AA6" s="51" t="str">
        <f>IF(AND(YEAR(JulSun1+3)=$A$1,MONTH(JulSun1+3)=7),JulSun1+3,"")</f>
        <v/>
      </c>
      <c r="AB6" s="51" t="str">
        <f>IF(AND(YEAR(JulSun1+4)=$A$1,MONTH(JulSun1+4)=7),JulSun1+4,"")</f>
        <v/>
      </c>
      <c r="AC6" s="51">
        <f>IF(AND(YEAR(JulSun1+5)=$A$1,MONTH(JulSun1+5)=7),JulSun1+5,"")</f>
        <v>42552</v>
      </c>
      <c r="AD6" s="51">
        <f>IF(AND(YEAR(JulSun1+6)=$A$1,MONTH(JulSun1+6)=7),JulSun1+6,"")</f>
        <v>42553</v>
      </c>
      <c r="AE6" s="49"/>
      <c r="AF6" s="16"/>
      <c r="AG6" s="60"/>
      <c r="AH6" s="51" t="str">
        <f>IF(AND(YEAR(OctSun1)=$A$1,MONTH(OctSun1)=10),OctSun1,"")</f>
        <v/>
      </c>
      <c r="AI6" s="51" t="str">
        <f>IF(AND(YEAR(OctSun1+1)=$A$1,MONTH(OctSun1+1)=10),OctSun1+1,"")</f>
        <v/>
      </c>
      <c r="AJ6" s="51" t="str">
        <f>IF(AND(YEAR(OctSun1+2)=$A$1,MONTH(OctSun1+2)=10),OctSun1+2,"")</f>
        <v/>
      </c>
      <c r="AK6" s="51" t="str">
        <f>IF(AND(YEAR(OctSun1+3)=$A$1,MONTH(OctSun1+3)=10),OctSun1+3,"")</f>
        <v/>
      </c>
      <c r="AL6" s="51" t="str">
        <f>IF(AND(YEAR(OctSun1+4)=$A$1,MONTH(OctSun1+4)=10),OctSun1+4,"")</f>
        <v/>
      </c>
      <c r="AM6" s="51" t="str">
        <f>IF(AND(YEAR(OctSun1+5)=$A$1,MONTH(OctSun1+5)=10),OctSun1+5,"")</f>
        <v/>
      </c>
      <c r="AN6" s="51">
        <f>IF(AND(YEAR(OctSun1+6)=$A$1,MONTH(OctSun1+6)=10),OctSun1+6,"")</f>
        <v>42644</v>
      </c>
      <c r="AO6" s="44"/>
      <c r="AR6" s="19" t="s">
        <v>24</v>
      </c>
      <c r="AS6" s="4">
        <v>0.5</v>
      </c>
      <c r="AT6" s="4">
        <v>0.5</v>
      </c>
      <c r="AU6" s="4">
        <v>1</v>
      </c>
      <c r="AV6" s="4">
        <v>0</v>
      </c>
      <c r="AW6" s="4">
        <v>0</v>
      </c>
      <c r="AX6" s="5" t="s">
        <v>42</v>
      </c>
      <c r="AZ6" s="6">
        <v>1</v>
      </c>
    </row>
    <row r="7" spans="1:52" s="6" customFormat="1" ht="15.95" customHeight="1">
      <c r="A7" s="1">
        <v>0</v>
      </c>
      <c r="B7" s="61"/>
      <c r="C7" s="62"/>
      <c r="D7" s="53"/>
      <c r="E7" s="53"/>
      <c r="F7" s="53"/>
      <c r="G7" s="53"/>
      <c r="H7" s="52"/>
      <c r="I7" s="52"/>
      <c r="J7" s="52"/>
      <c r="K7" s="83"/>
      <c r="L7" s="84"/>
      <c r="M7" s="62"/>
      <c r="N7" s="53"/>
      <c r="O7" s="53"/>
      <c r="P7" s="53"/>
      <c r="Q7" s="52"/>
      <c r="R7" s="52"/>
      <c r="S7" s="52"/>
      <c r="T7" s="52"/>
      <c r="U7" s="83"/>
      <c r="V7" s="84"/>
      <c r="W7" s="62"/>
      <c r="X7" s="53"/>
      <c r="Y7" s="53"/>
      <c r="Z7" s="53"/>
      <c r="AA7" s="52"/>
      <c r="AB7" s="52"/>
      <c r="AC7" s="52"/>
      <c r="AD7" s="52"/>
      <c r="AE7" s="83"/>
      <c r="AF7" s="84"/>
      <c r="AG7" s="62"/>
      <c r="AH7" s="53"/>
      <c r="AI7" s="53"/>
      <c r="AJ7" s="53"/>
      <c r="AK7" s="53"/>
      <c r="AL7" s="52"/>
      <c r="AM7" s="52"/>
      <c r="AN7" s="52"/>
      <c r="AO7" s="45"/>
      <c r="AZ7" s="6">
        <v>1.5</v>
      </c>
    </row>
    <row r="8" spans="2:52" s="3" customFormat="1" ht="15.95" customHeight="1">
      <c r="B8" s="63"/>
      <c r="C8" s="60"/>
      <c r="D8" s="51">
        <f>IF(AND(YEAR(JanSun1+7)=$A$1,MONTH(JanSun1+7)=1),JanSun1+7,"")</f>
        <v>42372</v>
      </c>
      <c r="E8" s="51">
        <f>IF(AND(YEAR(JanSun1+8)=$A$1,MONTH(JanSun1+8)=1),JanSun1+8,"")</f>
        <v>42373</v>
      </c>
      <c r="F8" s="51">
        <f>IF(AND(YEAR(JanSun1+9)=$A$1,MONTH(JanSun1+9)=1),JanSun1+9,"")</f>
        <v>42374</v>
      </c>
      <c r="G8" s="51">
        <f>IF(AND(YEAR(JanSun1+10)=$A$1,MONTH(JanSun1+10)=1),JanSun1+10,"")</f>
        <v>42375</v>
      </c>
      <c r="H8" s="51">
        <f>IF(AND(YEAR(JanSun1+11)=$A$1,MONTH(JanSun1+11)=1),JanSun1+11,"")</f>
        <v>42376</v>
      </c>
      <c r="I8" s="51">
        <f>IF(AND(YEAR(JanSun1+12)=$A$1,MONTH(JanSun1+12)=1),JanSun1+12,"")</f>
        <v>42377</v>
      </c>
      <c r="J8" s="51">
        <f>IF(AND(YEAR(JanSun1+13)=$A$1,MONTH(JanSun1+13)=1),JanSun1+13,"")</f>
        <v>42378</v>
      </c>
      <c r="K8" s="49"/>
      <c r="L8" s="16"/>
      <c r="M8" s="60"/>
      <c r="N8" s="51">
        <f>IF(AND(YEAR(AprSun1+7)=$A$1,MONTH(AprSun1+7)=4),AprSun1+7,"")</f>
        <v>42463</v>
      </c>
      <c r="O8" s="51">
        <f>IF(AND(YEAR(AprSun1+8)=$A$1,MONTH(AprSun1+8)=4),AprSun1+8,"")</f>
        <v>42464</v>
      </c>
      <c r="P8" s="51">
        <f>IF(AND(YEAR(AprSun1+9)=$A$1,MONTH(AprSun1+9)=4),AprSun1+9,"")</f>
        <v>42465</v>
      </c>
      <c r="Q8" s="51">
        <f>IF(AND(YEAR(AprSun1+10)=$A$1,MONTH(AprSun1+10)=4),AprSun1+10,"")</f>
        <v>42466</v>
      </c>
      <c r="R8" s="51">
        <f>IF(AND(YEAR(AprSun1+11)=$A$1,MONTH(AprSun1+11)=4),AprSun1+11,"")</f>
        <v>42467</v>
      </c>
      <c r="S8" s="51">
        <f>IF(AND(YEAR(AprSun1+12)=$A$1,MONTH(AprSun1+12)=4),AprSun1+12,"")</f>
        <v>42468</v>
      </c>
      <c r="T8" s="51">
        <f>IF(AND(YEAR(AprSun1+13)=$A$1,MONTH(AprSun1+13)=4),AprSun1+13,"")</f>
        <v>42469</v>
      </c>
      <c r="U8" s="49"/>
      <c r="V8" s="16"/>
      <c r="W8" s="60"/>
      <c r="X8" s="51">
        <f>IF(AND(YEAR(JulSun1+7)=$A$1,MONTH(JulSun1+7)=7),JulSun1+7,"")</f>
        <v>42554</v>
      </c>
      <c r="Y8" s="51">
        <f>IF(AND(YEAR(JulSun1+8)=$A$1,MONTH(JulSun1+8)=7),JulSun1+8,"")</f>
        <v>42555</v>
      </c>
      <c r="Z8" s="51">
        <f>IF(AND(YEAR(JulSun1+9)=$A$1,MONTH(JulSun1+9)=7),JulSun1+9,"")</f>
        <v>42556</v>
      </c>
      <c r="AA8" s="51">
        <f>IF(AND(YEAR(JulSun1+10)=$A$1,MONTH(JulSun1+10)=7),JulSun1+10,"")</f>
        <v>42557</v>
      </c>
      <c r="AB8" s="51">
        <f>IF(AND(YEAR(JulSun1+11)=$A$1,MONTH(JulSun1+11)=7),JulSun1+11,"")</f>
        <v>42558</v>
      </c>
      <c r="AC8" s="51">
        <f>IF(AND(YEAR(JulSun1+12)=$A$1,MONTH(JulSun1+12)=7),JulSun1+12,"")</f>
        <v>42559</v>
      </c>
      <c r="AD8" s="51">
        <f>IF(AND(YEAR(JulSun1+13)=$A$1,MONTH(JulSun1+13)=7),JulSun1+13,"")</f>
        <v>42560</v>
      </c>
      <c r="AE8" s="49"/>
      <c r="AF8" s="16"/>
      <c r="AG8" s="60"/>
      <c r="AH8" s="51">
        <f>IF(AND(YEAR(OctSun1+7)=$A$1,MONTH(OctSun1+7)=10),OctSun1+7,"")</f>
        <v>42645</v>
      </c>
      <c r="AI8" s="51">
        <f>IF(AND(YEAR(OctSun1+8)=$A$1,MONTH(OctSun1+8)=10),OctSun1+8,"")</f>
        <v>42646</v>
      </c>
      <c r="AJ8" s="51">
        <f>IF(AND(YEAR(OctSun1+9)=$A$1,MONTH(OctSun1+9)=10),OctSun1+9,"")</f>
        <v>42647</v>
      </c>
      <c r="AK8" s="51">
        <f>IF(AND(YEAR(OctSun1+10)=$A$1,MONTH(OctSun1+10)=10),OctSun1+10,"")</f>
        <v>42648</v>
      </c>
      <c r="AL8" s="51">
        <f>IF(AND(YEAR(OctSun1+11)=$A$1,MONTH(OctSun1+11)=10),OctSun1+11,"")</f>
        <v>42649</v>
      </c>
      <c r="AM8" s="51">
        <f>IF(AND(YEAR(OctSun1+12)=$A$1,MONTH(OctSun1+12)=10),OctSun1+12,"")</f>
        <v>42650</v>
      </c>
      <c r="AN8" s="51">
        <f>IF(AND(YEAR(OctSun1+13)=$A$1,MONTH(OctSun1+13)=10),OctSun1+13,"")</f>
        <v>42651</v>
      </c>
      <c r="AO8" s="44"/>
      <c r="AR8" s="19" t="s">
        <v>38</v>
      </c>
      <c r="AS8" s="19">
        <v>2014</v>
      </c>
      <c r="AT8" s="20" t="s">
        <v>18</v>
      </c>
      <c r="AU8" s="19" t="s">
        <v>19</v>
      </c>
      <c r="AV8" s="19" t="s">
        <v>17</v>
      </c>
      <c r="AW8" s="19"/>
      <c r="AZ8" s="6">
        <v>2</v>
      </c>
    </row>
    <row r="9" spans="1:52" s="6" customFormat="1" ht="15.95" customHeight="1" thickBot="1">
      <c r="A9" s="105" t="s">
        <v>43</v>
      </c>
      <c r="B9" s="58"/>
      <c r="C9" s="62"/>
      <c r="D9" s="52"/>
      <c r="E9" s="52"/>
      <c r="F9" s="52"/>
      <c r="G9" s="52"/>
      <c r="H9" s="52"/>
      <c r="I9" s="52"/>
      <c r="J9" s="52"/>
      <c r="K9" s="83"/>
      <c r="L9" s="84"/>
      <c r="M9" s="62"/>
      <c r="N9" s="52"/>
      <c r="O9" s="52"/>
      <c r="P9" s="52"/>
      <c r="Q9" s="52"/>
      <c r="R9" s="52"/>
      <c r="S9" s="52"/>
      <c r="T9" s="52"/>
      <c r="U9" s="83"/>
      <c r="V9" s="84"/>
      <c r="W9" s="62"/>
      <c r="X9" s="52"/>
      <c r="Y9" s="52"/>
      <c r="Z9" s="52"/>
      <c r="AA9" s="52"/>
      <c r="AB9" s="52"/>
      <c r="AC9" s="52"/>
      <c r="AD9" s="52"/>
      <c r="AE9" s="83"/>
      <c r="AF9" s="84"/>
      <c r="AG9" s="62"/>
      <c r="AH9" s="52"/>
      <c r="AI9" s="52"/>
      <c r="AJ9" s="52"/>
      <c r="AK9" s="52"/>
      <c r="AL9" s="52"/>
      <c r="AM9" s="52"/>
      <c r="AN9" s="52"/>
      <c r="AO9" s="45"/>
      <c r="AR9" s="19"/>
      <c r="AS9" s="19" t="s">
        <v>37</v>
      </c>
      <c r="AT9" s="4" t="s">
        <v>2</v>
      </c>
      <c r="AU9" s="4" t="s">
        <v>22</v>
      </c>
      <c r="AV9" s="4" t="s">
        <v>20</v>
      </c>
      <c r="AW9" s="7" t="s">
        <v>23</v>
      </c>
      <c r="AZ9" s="18">
        <v>2.5</v>
      </c>
    </row>
    <row r="10" spans="1:52" s="3" customFormat="1" ht="15.95" customHeight="1" thickBot="1">
      <c r="A10" s="106" t="s">
        <v>36</v>
      </c>
      <c r="B10" s="58"/>
      <c r="C10" s="60"/>
      <c r="D10" s="51">
        <f>IF(AND(YEAR(JanSun1+14)=$A$1,MONTH(JanSun1+14)=1),JanSun1+14,"")</f>
        <v>42379</v>
      </c>
      <c r="E10" s="51">
        <f>IF(AND(YEAR(JanSun1+15)=$A$1,MONTH(JanSun1+15)=1),JanSun1+15,"")</f>
        <v>42380</v>
      </c>
      <c r="F10" s="51">
        <f>IF(AND(YEAR(JanSun1+16)=$A$1,MONTH(JanSun1+16)=1),JanSun1+16,"")</f>
        <v>42381</v>
      </c>
      <c r="G10" s="51">
        <f>IF(AND(YEAR(JanSun1+17)=$A$1,MONTH(JanSun1+17)=1),JanSun1+17,"")</f>
        <v>42382</v>
      </c>
      <c r="H10" s="51">
        <f>IF(AND(YEAR(JanSun1+18)=$A$1,MONTH(JanSun1+18)=1),JanSun1+18,"")</f>
        <v>42383</v>
      </c>
      <c r="I10" s="51">
        <f>IF(AND(YEAR(JanSun1+19)=$A$1,MONTH(JanSun1+19)=1),JanSun1+19,"")</f>
        <v>42384</v>
      </c>
      <c r="J10" s="51">
        <f>IF(AND(YEAR(JanSun1+20)=$A$1,MONTH(JanSun1+20)=1),JanSun1+20,"")</f>
        <v>42385</v>
      </c>
      <c r="K10" s="49"/>
      <c r="L10" s="16"/>
      <c r="M10" s="60"/>
      <c r="N10" s="51">
        <f>IF(AND(YEAR(AprSun1+14)=$A$1,MONTH(AprSun1+14)=4),AprSun1+14,"")</f>
        <v>42470</v>
      </c>
      <c r="O10" s="51">
        <f>IF(AND(YEAR(AprSun1+15)=$A$1,MONTH(AprSun1+15)=4),AprSun1+15,"")</f>
        <v>42471</v>
      </c>
      <c r="P10" s="51">
        <f>IF(AND(YEAR(AprSun1+16)=$A$1,MONTH(AprSun1+16)=4),AprSun1+16,"")</f>
        <v>42472</v>
      </c>
      <c r="Q10" s="51">
        <f>IF(AND(YEAR(AprSun1+17)=$A$1,MONTH(AprSun1+17)=4),AprSun1+17,"")</f>
        <v>42473</v>
      </c>
      <c r="R10" s="51">
        <f>IF(AND(YEAR(AprSun1+18)=$A$1,MONTH(AprSun1+18)=4),AprSun1+18,"")</f>
        <v>42474</v>
      </c>
      <c r="S10" s="51">
        <f>IF(AND(YEAR(AprSun1+19)=$A$1,MONTH(AprSun1+19)=4),AprSun1+19,"")</f>
        <v>42475</v>
      </c>
      <c r="T10" s="51">
        <f>IF(AND(YEAR(AprSun1+20)=$A$1,MONTH(AprSun1+20)=4),AprSun1+20,"")</f>
        <v>42476</v>
      </c>
      <c r="U10" s="49"/>
      <c r="V10" s="16"/>
      <c r="W10" s="60"/>
      <c r="X10" s="51">
        <f>IF(AND(YEAR(JulSun1+14)=$A$1,MONTH(JulSun1+14)=7),JulSun1+14,"")</f>
        <v>42561</v>
      </c>
      <c r="Y10" s="51">
        <f>IF(AND(YEAR(JulSun1+15)=$A$1,MONTH(JulSun1+15)=7),JulSun1+15,"")</f>
        <v>42562</v>
      </c>
      <c r="Z10" s="51">
        <f>IF(AND(YEAR(JulSun1+16)=$A$1,MONTH(JulSun1+16)=7),JulSun1+16,"")</f>
        <v>42563</v>
      </c>
      <c r="AA10" s="51">
        <f>IF(AND(YEAR(JulSun1+17)=$A$1,MONTH(JulSun1+17)=7),JulSun1+17,"")</f>
        <v>42564</v>
      </c>
      <c r="AB10" s="51">
        <f>IF(AND(YEAR(JulSun1+18)=$A$1,MONTH(JulSun1+18)=7),JulSun1+18,"")</f>
        <v>42565</v>
      </c>
      <c r="AC10" s="51">
        <f>IF(AND(YEAR(JulSun1+19)=$A$1,MONTH(JulSun1+19)=7),JulSun1+19,"")</f>
        <v>42566</v>
      </c>
      <c r="AD10" s="51">
        <f>IF(AND(YEAR(JulSun1+20)=$A$1,MONTH(JulSun1+20)=7),JulSun1+20,"")</f>
        <v>42567</v>
      </c>
      <c r="AE10" s="49"/>
      <c r="AF10" s="16"/>
      <c r="AG10" s="60"/>
      <c r="AH10" s="51">
        <f>IF(AND(YEAR(OctSun1+14)=$A$1,MONTH(OctSun1+14)=10),OctSun1+14,"")</f>
        <v>42652</v>
      </c>
      <c r="AI10" s="51">
        <f>IF(AND(YEAR(OctSun1+15)=$A$1,MONTH(OctSun1+15)=10),OctSun1+15,"")</f>
        <v>42653</v>
      </c>
      <c r="AJ10" s="51">
        <f>IF(AND(YEAR(OctSun1+16)=$A$1,MONTH(OctSun1+16)=10),OctSun1+16,"")</f>
        <v>42654</v>
      </c>
      <c r="AK10" s="51">
        <f>IF(AND(YEAR(OctSun1+17)=$A$1,MONTH(OctSun1+17)=10),OctSun1+17,"")</f>
        <v>42655</v>
      </c>
      <c r="AL10" s="51">
        <f>IF(AND(YEAR(OctSun1+18)=$A$1,MONTH(OctSun1+18)=10),OctSun1+18,"")</f>
        <v>42656</v>
      </c>
      <c r="AM10" s="51">
        <f>IF(AND(YEAR(OctSun1+19)=$A$1,MONTH(OctSun1+19)=10),OctSun1+19,"")</f>
        <v>42657</v>
      </c>
      <c r="AN10" s="51">
        <f>IF(AND(YEAR(OctSun1+20)=$A$1,MONTH(OctSun1+20)=10),OctSun1+20,"")</f>
        <v>42658</v>
      </c>
      <c r="AO10" s="44"/>
      <c r="AR10" s="19" t="s">
        <v>24</v>
      </c>
      <c r="AS10" s="19">
        <f>A7</f>
        <v>0</v>
      </c>
      <c r="AT10" s="4">
        <f>F18+F33+F52+P18+P35+P52+Z18+Z35+Z52+AJ18+AJ35+AJ52</f>
        <v>0</v>
      </c>
      <c r="AU10" s="8">
        <f>J18+J33+J52+T52+T35+T18+AD18+AD35+AD52+AN52+AN35+AN18+AR26</f>
        <v>0</v>
      </c>
      <c r="AV10" s="9">
        <f>SUM(H18,H33,H52,R52,R35,R18,AB18,AB35,AB52,AL52,AL35,AL18)</f>
        <v>0</v>
      </c>
      <c r="AW10" s="10">
        <f>AS10+(AT10*0.5)+AU10+(AV10*0.5)</f>
        <v>0</v>
      </c>
      <c r="AZ10" s="6">
        <v>3</v>
      </c>
    </row>
    <row r="11" spans="1:52" s="6" customFormat="1" ht="15.95" customHeight="1">
      <c r="A11" s="108" t="s">
        <v>45</v>
      </c>
      <c r="B11" s="58"/>
      <c r="C11" s="62"/>
      <c r="D11" s="52"/>
      <c r="E11" s="52"/>
      <c r="F11" s="52"/>
      <c r="G11" s="52"/>
      <c r="H11" s="52"/>
      <c r="I11" s="52"/>
      <c r="J11" s="52"/>
      <c r="K11" s="83"/>
      <c r="L11" s="84"/>
      <c r="M11" s="62"/>
      <c r="N11" s="52"/>
      <c r="O11" s="52"/>
      <c r="P11" s="52"/>
      <c r="Q11" s="52"/>
      <c r="R11" s="52"/>
      <c r="S11" s="52"/>
      <c r="T11" s="52"/>
      <c r="U11" s="83"/>
      <c r="V11" s="84"/>
      <c r="W11" s="62"/>
      <c r="X11" s="52"/>
      <c r="Y11" s="52"/>
      <c r="Z11" s="52"/>
      <c r="AA11" s="52"/>
      <c r="AB11" s="52"/>
      <c r="AC11" s="52"/>
      <c r="AD11" s="52"/>
      <c r="AE11" s="83"/>
      <c r="AF11" s="84"/>
      <c r="AG11" s="62"/>
      <c r="AH11" s="52"/>
      <c r="AI11" s="52"/>
      <c r="AJ11" s="52"/>
      <c r="AK11" s="52"/>
      <c r="AL11" s="52"/>
      <c r="AM11" s="52"/>
      <c r="AN11" s="52"/>
      <c r="AO11" s="45"/>
      <c r="AZ11" s="6">
        <v>3.5</v>
      </c>
    </row>
    <row r="12" spans="1:52" s="3" customFormat="1" ht="15.95" customHeight="1">
      <c r="A12" s="1">
        <v>0</v>
      </c>
      <c r="B12" s="61"/>
      <c r="C12" s="60"/>
      <c r="D12" s="51">
        <f>IF(AND(YEAR(JanSun1+21)=$A$1,MONTH(JanSun1+21)=1),JanSun1+21,"")</f>
        <v>42386</v>
      </c>
      <c r="E12" s="51">
        <f>IF(AND(YEAR(JanSun1+22)=$A$1,MONTH(JanSun1+22)=1),JanSun1+22,"")</f>
        <v>42387</v>
      </c>
      <c r="F12" s="51">
        <f>IF(AND(YEAR(JanSun1+23)=$A$1,MONTH(JanSun1+23)=1),JanSun1+23,"")</f>
        <v>42388</v>
      </c>
      <c r="G12" s="51">
        <f>IF(AND(YEAR(JanSun1+24)=$A$1,MONTH(JanSun1+24)=1),JanSun1+24,"")</f>
        <v>42389</v>
      </c>
      <c r="H12" s="51">
        <f>IF(AND(YEAR(JanSun1+25)=$A$1,MONTH(JanSun1+25)=1),JanSun1+25,"")</f>
        <v>42390</v>
      </c>
      <c r="I12" s="51">
        <f>IF(AND(YEAR(JanSun1+26)=$A$1,MONTH(JanSun1+26)=1),JanSun1+26,"")</f>
        <v>42391</v>
      </c>
      <c r="J12" s="51">
        <f>IF(AND(YEAR(JanSun1+27)=$A$1,MONTH(JanSun1+27)=1),JanSun1+27,"")</f>
        <v>42392</v>
      </c>
      <c r="K12" s="49"/>
      <c r="L12" s="16"/>
      <c r="M12" s="60"/>
      <c r="N12" s="51">
        <f>IF(AND(YEAR(AprSun1+21)=$A$1,MONTH(AprSun1+21)=4),AprSun1+21,"")</f>
        <v>42477</v>
      </c>
      <c r="O12" s="51">
        <f>IF(AND(YEAR(AprSun1+22)=$A$1,MONTH(AprSun1+22)=4),AprSun1+22,"")</f>
        <v>42478</v>
      </c>
      <c r="P12" s="51">
        <f>IF(AND(YEAR(AprSun1+23)=$A$1,MONTH(AprSun1+23)=4),AprSun1+23,"")</f>
        <v>42479</v>
      </c>
      <c r="Q12" s="51">
        <f>IF(AND(YEAR(AprSun1+24)=$A$1,MONTH(AprSun1+24)=4),AprSun1+24,"")</f>
        <v>42480</v>
      </c>
      <c r="R12" s="51">
        <f>IF(AND(YEAR(AprSun1+25)=$A$1,MONTH(AprSun1+25)=4),AprSun1+25,"")</f>
        <v>42481</v>
      </c>
      <c r="S12" s="51">
        <f>IF(AND(YEAR(AprSun1+26)=$A$1,MONTH(AprSun1+26)=4),AprSun1+26,"")</f>
        <v>42482</v>
      </c>
      <c r="T12" s="51">
        <f>IF(AND(YEAR(AprSun1+27)=$A$1,MONTH(AprSun1+27)=4),AprSun1+27,"")</f>
        <v>42483</v>
      </c>
      <c r="U12" s="49"/>
      <c r="V12" s="16"/>
      <c r="W12" s="60"/>
      <c r="X12" s="51">
        <f>IF(AND(YEAR(JulSun1+21)=$A$1,MONTH(JulSun1+21)=7),JulSun1+21,"")</f>
        <v>42568</v>
      </c>
      <c r="Y12" s="51">
        <f>IF(AND(YEAR(JulSun1+22)=$A$1,MONTH(JulSun1+22)=7),JulSun1+22,"")</f>
        <v>42569</v>
      </c>
      <c r="Z12" s="51">
        <f>IF(AND(YEAR(JulSun1+23)=$A$1,MONTH(JulSun1+23)=7),JulSun1+23,"")</f>
        <v>42570</v>
      </c>
      <c r="AA12" s="51">
        <f>IF(AND(YEAR(JulSun1+24)=$A$1,MONTH(JulSun1+24)=7),JulSun1+24,"")</f>
        <v>42571</v>
      </c>
      <c r="AB12" s="51">
        <f>IF(AND(YEAR(JulSun1+25)=$A$1,MONTH(JulSun1+25)=7),JulSun1+25,"")</f>
        <v>42572</v>
      </c>
      <c r="AC12" s="51">
        <f>IF(AND(YEAR(JulSun1+26)=$A$1,MONTH(JulSun1+26)=7),JulSun1+26,"")</f>
        <v>42573</v>
      </c>
      <c r="AD12" s="51">
        <f>IF(AND(YEAR(JulSun1+27)=$A$1,MONTH(JulSun1+27)=7),JulSun1+27,"")</f>
        <v>42574</v>
      </c>
      <c r="AE12" s="49"/>
      <c r="AF12" s="16"/>
      <c r="AG12" s="60"/>
      <c r="AH12" s="51">
        <f>IF(AND(YEAR(OctSun1+21)=$A$1,MONTH(OctSun1+21)=10),OctSun1+21,"")</f>
        <v>42659</v>
      </c>
      <c r="AI12" s="51">
        <f>IF(AND(YEAR(OctSun1+22)=$A$1,MONTH(OctSun1+22)=10),OctSun1+22,"")</f>
        <v>42660</v>
      </c>
      <c r="AJ12" s="51">
        <f>IF(AND(YEAR(OctSun1+23)=$A$1,MONTH(OctSun1+23)=10),OctSun1+23,"")</f>
        <v>42661</v>
      </c>
      <c r="AK12" s="51">
        <f>IF(AND(YEAR(OctSun1+24)=$A$1,MONTH(OctSun1+24)=10),OctSun1+24,"")</f>
        <v>42662</v>
      </c>
      <c r="AL12" s="51">
        <f>IF(AND(YEAR(OctSun1+25)=$A$1,MONTH(OctSun1+25)=10),OctSun1+25,"")</f>
        <v>42663</v>
      </c>
      <c r="AM12" s="51">
        <f>IF(AND(YEAR(OctSun1+26)=$A$1,MONTH(OctSun1+26)=10),OctSun1+26,"")</f>
        <v>42664</v>
      </c>
      <c r="AN12" s="51">
        <f>IF(AND(YEAR(OctSun1+27)=$A$1,MONTH(OctSun1+27)=10),OctSun1+27,"")</f>
        <v>42665</v>
      </c>
      <c r="AO12" s="44"/>
      <c r="AR12" s="19" t="s">
        <v>24</v>
      </c>
      <c r="AS12" s="4">
        <v>4</v>
      </c>
      <c r="AT12" s="129" t="s">
        <v>27</v>
      </c>
      <c r="AU12" s="130"/>
      <c r="AZ12" s="6">
        <v>4</v>
      </c>
    </row>
    <row r="13" spans="2:52" s="6" customFormat="1" ht="15.95" customHeight="1">
      <c r="B13" s="64"/>
      <c r="C13" s="62"/>
      <c r="D13" s="52"/>
      <c r="E13" s="52"/>
      <c r="F13" s="52"/>
      <c r="G13" s="52"/>
      <c r="H13" s="52"/>
      <c r="I13" s="52"/>
      <c r="J13" s="52"/>
      <c r="K13" s="83"/>
      <c r="L13" s="84"/>
      <c r="M13" s="62"/>
      <c r="N13" s="52"/>
      <c r="O13" s="52"/>
      <c r="P13" s="52"/>
      <c r="Q13" s="52"/>
      <c r="R13" s="52"/>
      <c r="S13" s="52"/>
      <c r="T13" s="52"/>
      <c r="U13" s="83"/>
      <c r="V13" s="84"/>
      <c r="W13" s="62"/>
      <c r="X13" s="52"/>
      <c r="Y13" s="52"/>
      <c r="Z13" s="52"/>
      <c r="AA13" s="52"/>
      <c r="AB13" s="52"/>
      <c r="AC13" s="52"/>
      <c r="AD13" s="52"/>
      <c r="AE13" s="83"/>
      <c r="AF13" s="84"/>
      <c r="AG13" s="62"/>
      <c r="AH13" s="52"/>
      <c r="AI13" s="52"/>
      <c r="AJ13" s="52"/>
      <c r="AK13" s="52"/>
      <c r="AL13" s="52"/>
      <c r="AM13" s="52"/>
      <c r="AN13" s="52"/>
      <c r="AO13" s="45"/>
      <c r="AR13" s="17">
        <f>AS10+(AT10*0.5)+AU10+(AV10*0.5)</f>
        <v>0</v>
      </c>
      <c r="AS13" s="4">
        <v>6</v>
      </c>
      <c r="AT13" s="131" t="s">
        <v>28</v>
      </c>
      <c r="AU13" s="132"/>
      <c r="AZ13" s="6">
        <v>4.5</v>
      </c>
    </row>
    <row r="14" spans="2:52" s="3" customFormat="1" ht="15.95" customHeight="1">
      <c r="B14" s="63"/>
      <c r="C14" s="60"/>
      <c r="D14" s="51">
        <f>IF(AND(YEAR(JanSun1+28)=$A$1,MONTH(JanSun1+28)=1),JanSun1+28,"")</f>
        <v>42393</v>
      </c>
      <c r="E14" s="51">
        <f>IF(AND(YEAR(JanSun1+29)=$A$1,MONTH(JanSun1+29)=1),JanSun1+29,"")</f>
        <v>42394</v>
      </c>
      <c r="F14" s="51">
        <f>IF(AND(YEAR(JanSun1+30)=$A$1,MONTH(JanSun1+30)=1),JanSun1+30,"")</f>
        <v>42395</v>
      </c>
      <c r="G14" s="51">
        <f>IF(AND(YEAR(JanSun1+31)=$A$1,MONTH(JanSun1+31)=1),JanSun1+31,"")</f>
        <v>42396</v>
      </c>
      <c r="H14" s="51">
        <f>IF(AND(YEAR(JanSun1+32)=$A$1,MONTH(JanSun1+32)=1),JanSun1+32,"")</f>
        <v>42397</v>
      </c>
      <c r="I14" s="51">
        <f>IF(AND(YEAR(JanSun1+33)=$A$1,MONTH(JanSun1+33)=1),JanSun1+33,"")</f>
        <v>42398</v>
      </c>
      <c r="J14" s="51">
        <f>IF(AND(YEAR(JanSun1+34)=$A$1,MONTH(JanSun1+34)=1),JanSun1+34,"")</f>
        <v>42399</v>
      </c>
      <c r="K14" s="49"/>
      <c r="L14" s="16"/>
      <c r="M14" s="60"/>
      <c r="N14" s="51">
        <f>IF(AND(YEAR(AprSun1+28)=$A$1,MONTH(AprSun1+28)=4),AprSun1+28,"")</f>
        <v>42484</v>
      </c>
      <c r="O14" s="51">
        <f>IF(AND(YEAR(AprSun1+29)=$A$1,MONTH(AprSun1+29)=4),AprSun1+29,"")</f>
        <v>42485</v>
      </c>
      <c r="P14" s="51">
        <f>IF(AND(YEAR(AprSun1+30)=$A$1,MONTH(AprSun1+30)=4),AprSun1+30,"")</f>
        <v>42486</v>
      </c>
      <c r="Q14" s="51">
        <f>IF(AND(YEAR(AprSun1+31)=$A$1,MONTH(AprSun1+31)=4),AprSun1+31,"")</f>
        <v>42487</v>
      </c>
      <c r="R14" s="51">
        <f>IF(AND(YEAR(AprSun1+32)=$A$1,MONTH(AprSun1+32)=4),AprSun1+32,"")</f>
        <v>42488</v>
      </c>
      <c r="S14" s="51">
        <f>IF(AND(YEAR(AprSun1+33)=$A$1,MONTH(AprSun1+33)=4),AprSun1+33,"")</f>
        <v>42489</v>
      </c>
      <c r="T14" s="51">
        <f>IF(AND(YEAR(AprSun1+34)=$A$1,MONTH(AprSun1+34)=4),AprSun1+34,"")</f>
        <v>42490</v>
      </c>
      <c r="U14" s="49"/>
      <c r="V14" s="16"/>
      <c r="W14" s="60"/>
      <c r="X14" s="51">
        <f>IF(AND(YEAR(JulSun1+28)=$A$1,MONTH(JulSun1+28)=7),JulSun1+28,"")</f>
        <v>42575</v>
      </c>
      <c r="Y14" s="51">
        <f>IF(AND(YEAR(JulSun1+29)=$A$1,MONTH(JulSun1+29)=7),JulSun1+29,"")</f>
        <v>42576</v>
      </c>
      <c r="Z14" s="51">
        <f>IF(AND(YEAR(JulSun1+30)=$A$1,MONTH(JulSun1+30)=7),JulSun1+30,"")</f>
        <v>42577</v>
      </c>
      <c r="AA14" s="51">
        <f>IF(AND(YEAR(JulSun1+31)=$A$1,MONTH(JulSun1+31)=7),JulSun1+31,"")</f>
        <v>42578</v>
      </c>
      <c r="AB14" s="51">
        <f>IF(AND(YEAR(JulSun1+32)=$A$1,MONTH(JulSun1+32)=7),JulSun1+32,"")</f>
        <v>42579</v>
      </c>
      <c r="AC14" s="51">
        <f>IF(AND(YEAR(JulSun1+33)=$A$1,MONTH(JulSun1+33)=7),JulSun1+33,"")</f>
        <v>42580</v>
      </c>
      <c r="AD14" s="51">
        <f>IF(AND(YEAR(JulSun1+34)=$A$1,MONTH(JulSun1+34)=7),JulSun1+34,"")</f>
        <v>42581</v>
      </c>
      <c r="AE14" s="49"/>
      <c r="AF14" s="16"/>
      <c r="AG14" s="60"/>
      <c r="AH14" s="51">
        <f>IF(AND(YEAR(OctSun1+28)=$A$1,MONTH(OctSun1+28)=10),OctSun1+28,"")</f>
        <v>42666</v>
      </c>
      <c r="AI14" s="51">
        <f>IF(AND(YEAR(OctSun1+29)=$A$1,MONTH(OctSun1+29)=10),OctSun1+29,"")</f>
        <v>42667</v>
      </c>
      <c r="AJ14" s="51">
        <f>IF(AND(YEAR(OctSun1+30)=$A$1,MONTH(OctSun1+30)=10),OctSun1+30,"")</f>
        <v>42668</v>
      </c>
      <c r="AK14" s="51">
        <f>IF(AND(YEAR(OctSun1+31)=$A$1,MONTH(OctSun1+31)=10),OctSun1+31,"")</f>
        <v>42669</v>
      </c>
      <c r="AL14" s="51">
        <f>IF(AND(YEAR(OctSun1+32)=$A$1,MONTH(OctSun1+32)=10),OctSun1+32,"")</f>
        <v>42670</v>
      </c>
      <c r="AM14" s="51">
        <f>IF(AND(YEAR(OctSun1+33)=$A$1,MONTH(OctSun1+33)=10),OctSun1+33,"")</f>
        <v>42671</v>
      </c>
      <c r="AN14" s="51">
        <f>IF(AND(YEAR(OctSun1+34)=$A$1,MONTH(OctSun1+34)=10),OctSun1+34,"")</f>
        <v>42672</v>
      </c>
      <c r="AO14" s="44"/>
      <c r="AR14" s="19"/>
      <c r="AS14" s="4">
        <v>8</v>
      </c>
      <c r="AT14" s="121" t="s">
        <v>29</v>
      </c>
      <c r="AU14" s="122"/>
      <c r="AZ14" s="18">
        <v>5</v>
      </c>
    </row>
    <row r="15" spans="1:52" s="6" customFormat="1" ht="15.95" customHeight="1">
      <c r="A15" s="3"/>
      <c r="B15" s="63"/>
      <c r="C15" s="60"/>
      <c r="D15" s="52"/>
      <c r="E15" s="52"/>
      <c r="F15" s="52"/>
      <c r="G15" s="52"/>
      <c r="H15" s="52"/>
      <c r="I15" s="52"/>
      <c r="J15" s="52"/>
      <c r="K15" s="49"/>
      <c r="L15" s="16"/>
      <c r="M15" s="60"/>
      <c r="N15" s="52"/>
      <c r="O15" s="52"/>
      <c r="P15" s="52"/>
      <c r="Q15" s="52"/>
      <c r="R15" s="52"/>
      <c r="S15" s="52"/>
      <c r="T15" s="52"/>
      <c r="U15" s="49"/>
      <c r="V15" s="16"/>
      <c r="W15" s="60"/>
      <c r="X15" s="52"/>
      <c r="Y15" s="52"/>
      <c r="Z15" s="52"/>
      <c r="AA15" s="52"/>
      <c r="AB15" s="52"/>
      <c r="AC15" s="52"/>
      <c r="AD15" s="120"/>
      <c r="AE15" s="49"/>
      <c r="AF15" s="16"/>
      <c r="AG15" s="60"/>
      <c r="AH15" s="52"/>
      <c r="AI15" s="52"/>
      <c r="AJ15" s="52"/>
      <c r="AK15" s="52"/>
      <c r="AL15" s="52"/>
      <c r="AM15" s="52"/>
      <c r="AN15" s="52"/>
      <c r="AO15" s="44"/>
      <c r="AP15" s="3"/>
      <c r="AQ15" s="3"/>
      <c r="AR15" s="19"/>
      <c r="AS15" s="4">
        <v>10</v>
      </c>
      <c r="AT15" s="123" t="s">
        <v>30</v>
      </c>
      <c r="AU15" s="124"/>
      <c r="AZ15" s="6">
        <v>5.5</v>
      </c>
    </row>
    <row r="16" spans="1:52" s="6" customFormat="1" ht="15.95" customHeight="1">
      <c r="A16" s="3"/>
      <c r="B16" s="63"/>
      <c r="C16" s="60"/>
      <c r="D16" s="51">
        <f>IF(AND(YEAR(JanSun1+35)=$A$1,MONTH(JanSun1+35)=1),JanSun1+35,"")</f>
        <v>42400</v>
      </c>
      <c r="E16" s="51" t="str">
        <f>IF(AND(YEAR(JanSun1+36)=$A$1,MONTH(JanSun1+36)=1),JanSun1+36,"")</f>
        <v/>
      </c>
      <c r="F16" s="51" t="str">
        <f>IF(AND(YEAR(JanSun1+37)=$A$1,MONTH(JanSun1+37)=1),JanSun1+37,"")</f>
        <v/>
      </c>
      <c r="G16" s="51" t="str">
        <f>IF(AND(YEAR(JanSun1+38)=$A$1,MONTH(JanSun1+38)=1),JanSun1+38,"")</f>
        <v/>
      </c>
      <c r="H16" s="51" t="str">
        <f>IF(AND(YEAR(JanSun1+39)=$A$1,MONTH(JanSun1+39)=1),JanSun1+39,"")</f>
        <v/>
      </c>
      <c r="I16" s="51" t="str">
        <f>IF(AND(YEAR(JanSun1+40)=$A$1,MONTH(JanSun1+40)=1),JanSun1+40,"")</f>
        <v/>
      </c>
      <c r="J16" s="51" t="str">
        <f>IF(AND(YEAR(JanSun1+41)=$A$1,MONTH(JanSun1+41)=1),JanSun1+41,"")</f>
        <v/>
      </c>
      <c r="K16" s="49"/>
      <c r="L16" s="16"/>
      <c r="M16" s="60"/>
      <c r="N16" s="51" t="str">
        <f>IF(AND(YEAR(AprSun1+35)=$A$1,MONTH(AprSun1+35)=4),AprSun1+35,"")</f>
        <v/>
      </c>
      <c r="O16" s="51" t="str">
        <f>IF(AND(YEAR(AprSun1+36)=$A$1,MONTH(AprSun1+36)=4),AprSun1+36,"")</f>
        <v/>
      </c>
      <c r="P16" s="51" t="str">
        <f>IF(AND(YEAR(AprSun1+37)=$A$1,MONTH(AprSun1+37)=4),AprSun1+37,"")</f>
        <v/>
      </c>
      <c r="Q16" s="51" t="str">
        <f>IF(AND(YEAR(AprSun1+38)=$A$1,MONTH(AprSun1+38)=4),AprSun1+38,"")</f>
        <v/>
      </c>
      <c r="R16" s="51" t="str">
        <f>IF(AND(YEAR(AprSun1+39)=$A$1,MONTH(AprSun1+39)=4),AprSun1+39,"")</f>
        <v/>
      </c>
      <c r="S16" s="51" t="str">
        <f>IF(AND(YEAR(AprSun1+40)=$A$1,MONTH(AprSun1+40)=4),AprSun1+40,"")</f>
        <v/>
      </c>
      <c r="T16" s="51" t="str">
        <f>IF(AND(YEAR(AprSun1+41)=$A$1,MONTH(AprSun1+41)=4),AprSun1+41,"")</f>
        <v/>
      </c>
      <c r="U16" s="49"/>
      <c r="V16" s="16"/>
      <c r="W16" s="60"/>
      <c r="X16" s="51">
        <f>IF(AND(YEAR(JulSun1+35)=$A$1,MONTH(JulSun1+35)=7),JulSun1+35,"")</f>
        <v>42582</v>
      </c>
      <c r="Y16" s="51" t="str">
        <f>IF(AND(YEAR(JulSun1+36)=$A$1,MONTH(JulSun1+36)=7),JulSun1+36,"")</f>
        <v/>
      </c>
      <c r="Z16" s="51" t="str">
        <f>IF(AND(YEAR(JulSun1+37)=$A$1,MONTH(JulSun1+37)=7),JulSun1+37,"")</f>
        <v/>
      </c>
      <c r="AA16" s="51" t="str">
        <f>IF(AND(YEAR(JulSun1+38)=$A$1,MONTH(JulSun1+38)=7),JulSun1+38,"")</f>
        <v/>
      </c>
      <c r="AB16" s="51" t="str">
        <f>IF(AND(YEAR(JulSun1+39)=$A$1,MONTH(JulSun1+39)=7),JulSun1+39,"")</f>
        <v/>
      </c>
      <c r="AC16" s="51" t="str">
        <f>IF(AND(YEAR(JulSun1+40)=$A$1,MONTH(JulSun1+40)=7),JulSun1+40,"")</f>
        <v/>
      </c>
      <c r="AD16" s="51" t="str">
        <f>IF(AND(YEAR(JulSun1+41)=$A$1,MONTH(JulSun1+41)=7),JulSun1+41,"")</f>
        <v/>
      </c>
      <c r="AE16" s="49"/>
      <c r="AF16" s="16"/>
      <c r="AG16" s="60"/>
      <c r="AH16" s="51">
        <f>IF(AND(YEAR(OctSun1+35)=$A$1,MONTH(OctSun1+35)=10),OctSun1+35,"")</f>
        <v>42673</v>
      </c>
      <c r="AI16" s="51">
        <f>IF(AND(YEAR(OctSun1+36)=$A$1,MONTH(OctSun1+36)=10),OctSun1+36,"")</f>
        <v>42674</v>
      </c>
      <c r="AJ16" s="51" t="str">
        <f>IF(AND(YEAR(OctSun1+37)=$A$1,MONTH(OctSun1+37)=10),OctSun1+37,"")</f>
        <v/>
      </c>
      <c r="AK16" s="51" t="str">
        <f>IF(AND(YEAR(OctSun1+38)=$A$1,MONTH(OctSun1+38)=10),OctSun1+38,"")</f>
        <v/>
      </c>
      <c r="AL16" s="51" t="str">
        <f>IF(AND(YEAR(OctSun1+39)=$A$1,MONTH(OctSun1+39)=10),OctSun1+39,"")</f>
        <v/>
      </c>
      <c r="AM16" s="51" t="str">
        <f>IF(AND(YEAR(OctSun1+40)=$A$1,MONTH(OctSun1+40)=10),OctSun1+40,"")</f>
        <v/>
      </c>
      <c r="AN16" s="51" t="str">
        <f>IF(AND(YEAR(OctSun1+41)=$A$1,MONTH(OctSun1+41)=10),OctSun1+41,"")</f>
        <v/>
      </c>
      <c r="AO16" s="44"/>
      <c r="AP16" s="3"/>
      <c r="AQ16" s="3"/>
      <c r="AR16" s="12"/>
      <c r="AZ16" s="6">
        <v>6</v>
      </c>
    </row>
    <row r="17" spans="2:52" s="6" customFormat="1" ht="15.95" customHeight="1">
      <c r="B17" s="64"/>
      <c r="C17" s="62"/>
      <c r="D17" s="52"/>
      <c r="E17" s="53"/>
      <c r="F17" s="53"/>
      <c r="G17" s="53"/>
      <c r="H17" s="53"/>
      <c r="I17" s="53"/>
      <c r="J17" s="53"/>
      <c r="K17" s="48" t="s">
        <v>21</v>
      </c>
      <c r="L17" s="16"/>
      <c r="M17" s="62"/>
      <c r="N17" s="53"/>
      <c r="O17" s="53"/>
      <c r="P17" s="53"/>
      <c r="Q17" s="53"/>
      <c r="R17" s="53"/>
      <c r="S17" s="53"/>
      <c r="T17" s="53"/>
      <c r="U17" s="48" t="s">
        <v>21</v>
      </c>
      <c r="V17" s="16"/>
      <c r="W17" s="62"/>
      <c r="X17" s="52"/>
      <c r="Y17" s="53"/>
      <c r="Z17" s="53"/>
      <c r="AA17" s="53"/>
      <c r="AB17" s="53"/>
      <c r="AC17" s="53"/>
      <c r="AD17" s="53"/>
      <c r="AE17" s="48" t="s">
        <v>21</v>
      </c>
      <c r="AF17" s="16"/>
      <c r="AG17" s="62"/>
      <c r="AH17" s="52"/>
      <c r="AI17" s="52"/>
      <c r="AJ17" s="53"/>
      <c r="AK17" s="53"/>
      <c r="AL17" s="53"/>
      <c r="AM17" s="53"/>
      <c r="AN17" s="53"/>
      <c r="AO17" s="46" t="s">
        <v>21</v>
      </c>
      <c r="AP17" s="3"/>
      <c r="AQ17" s="3"/>
      <c r="AR17" s="20" t="s">
        <v>32</v>
      </c>
      <c r="AS17" s="4">
        <v>6</v>
      </c>
      <c r="AT17" s="127" t="s">
        <v>27</v>
      </c>
      <c r="AU17" s="128"/>
      <c r="AZ17" s="6">
        <v>6.5</v>
      </c>
    </row>
    <row r="18" spans="1:52" s="3" customFormat="1" ht="15.95" customHeight="1" thickBot="1">
      <c r="A18" s="6"/>
      <c r="B18" s="64"/>
      <c r="C18" s="65" t="s">
        <v>35</v>
      </c>
      <c r="D18" s="110">
        <f>COUNTIF(D7:J7,"AC")+COUNTIF(D9:J9,"AC")+COUNTIF(D11:J11,"AC")+COUNTIF(D13:J13,"AC")+COUNTIF(D15:J15,"AC")+COUNTIF(D17:J17,"AC")</f>
        <v>0</v>
      </c>
      <c r="E18" s="111" t="s">
        <v>2</v>
      </c>
      <c r="F18" s="110">
        <f>COUNTIF(D7:J7,"T")+COUNTIF(D9:J9,"T")+COUNTIF(D11:J11,"T")+COUNTIF(D13:J13,"T")+COUNTIF(D15:J15,"T")+COUNTIF(D17:J17,"T")</f>
        <v>0</v>
      </c>
      <c r="G18" s="111" t="s">
        <v>20</v>
      </c>
      <c r="H18" s="110">
        <f>COUNTIF(D7:J7,"MP")+COUNTIF(D9:J9,"MP")+COUNTIF(D11:J11,"MP")+COUNTIF(D13:J13,"MP")+COUNTIF(D15:J15,"MP")+COUNTIF(D17:J17,"MP")</f>
        <v>0</v>
      </c>
      <c r="I18" s="111" t="s">
        <v>22</v>
      </c>
      <c r="J18" s="110">
        <f>COUNTIF(D7:J7,"A")+COUNTIF(D9:J9,"A")+COUNTIF(D11:J11,"A")+COUNTIF(D13:J13,"A")+COUNTIF(D15:J15,"A")+COUNTIF(D17:J17,"A")</f>
        <v>0</v>
      </c>
      <c r="K18" s="54">
        <f>SUM((F18*0.5)+(H18*0.5)+(J18))</f>
        <v>0</v>
      </c>
      <c r="L18" s="85"/>
      <c r="M18" s="65" t="s">
        <v>35</v>
      </c>
      <c r="N18" s="110">
        <f>COUNTIF(N7:T7,"AC")+COUNTIF(N9:T9,"AC")+COUNTIF(N11:T11,"AC")+COUNTIF(N13:T13,"AC")+COUNTIF(N15:T15,"AC")+COUNTIF(N17:T17,"AC")</f>
        <v>0</v>
      </c>
      <c r="O18" s="111" t="s">
        <v>2</v>
      </c>
      <c r="P18" s="110">
        <f>COUNTIF(N7:T7,"T")+COUNTIF(N9:T9,"T")+COUNTIF(N11:T11,"T")+COUNTIF(N13:T13,"T")+COUNTIF(N15:T15,"T")+COUNTIF(N17:T17,"T")</f>
        <v>0</v>
      </c>
      <c r="Q18" s="111" t="s">
        <v>20</v>
      </c>
      <c r="R18" s="110">
        <f>COUNTIF(N7:T7,"MP")+COUNTIF(N9:T9,"MP")+COUNTIF(N11:T11,"MP")+COUNTIF(N13:T13,"MP")+COUNTIF(N15:T15,"MP")+COUNTIF(N17:T17,"MP")</f>
        <v>0</v>
      </c>
      <c r="S18" s="111" t="s">
        <v>22</v>
      </c>
      <c r="T18" s="110">
        <f>COUNTIF(N7:T7,"A")+COUNTIF(N9:T9,"A")+COUNTIF(N11:T11,"A")+COUNTIF(N13:T13,"A")+COUNTIF(N15:T15,"A")+COUNTIF(N17:T17,"A")</f>
        <v>0</v>
      </c>
      <c r="U18" s="54">
        <f>SUM((P18*0.5)+(R18*0.5)+(T18))</f>
        <v>0</v>
      </c>
      <c r="V18" s="85"/>
      <c r="W18" s="65" t="s">
        <v>35</v>
      </c>
      <c r="X18" s="110">
        <f>COUNTIF(X7:AD7,"AC")+COUNTIF(X9:AD9,"AC")+COUNTIF(X11:AD11,"AC")+COUNTIF(X13:AD13,"AC")+COUNTIF(X15:AD15,"AC")+COUNTIF(X17:AD17,"AC")</f>
        <v>0</v>
      </c>
      <c r="Y18" s="111" t="s">
        <v>2</v>
      </c>
      <c r="Z18" s="110">
        <f>COUNTIF(X7:AD7,"T")+COUNTIF(X9:AD9,"T")+COUNTIF(X11:AD11,"T")+COUNTIF(X13:AD13,"T")+COUNTIF(X15:AD15,"T")+COUNTIF(X17:AD17,"T")</f>
        <v>0</v>
      </c>
      <c r="AA18" s="111" t="s">
        <v>20</v>
      </c>
      <c r="AB18" s="110">
        <f>COUNTIF(X7:AD7,"MP")+COUNTIF(X9:AD9,"MP")+COUNTIF(X11:AD11,"MP")+COUNTIF(X13:AD13,"MP")+COUNTIF(X17:AD17,"MP")+COUNTIF(X15:AD15,"MP")</f>
        <v>0</v>
      </c>
      <c r="AC18" s="111" t="s">
        <v>22</v>
      </c>
      <c r="AD18" s="110">
        <f>COUNTIF(X7:AD7,"A")+COUNTIF(X9:AD9,"A")+COUNTIF(X11:AD11,"A")+COUNTIF(X13:AD13,"A")+COUNTIF(X15:AD15,"A")+COUNTIF(X17:AD17,"A")</f>
        <v>0</v>
      </c>
      <c r="AE18" s="54">
        <f>SUM((Z18*0.5)+(AB18*0.5)+(AD18))</f>
        <v>0</v>
      </c>
      <c r="AF18" s="85"/>
      <c r="AG18" s="65" t="s">
        <v>35</v>
      </c>
      <c r="AH18" s="110">
        <f>COUNTIF(AH7:AN7,"AC")+COUNTIF(AH9:AN9,"AC")+COUNTIF(AH11:AN11,"AC")+COUNTIF(AH13:AN13,"AC")+COUNTIF(AH15:AN15,"AC")+COUNTIF(AH17:AN17,"AC")</f>
        <v>0</v>
      </c>
      <c r="AI18" s="111" t="s">
        <v>2</v>
      </c>
      <c r="AJ18" s="110">
        <f>COUNTIF(AH7:AN7,"T")+COUNTIF(AH9:AN9,"T")+COUNTIF(AH11:AN11,"T")+COUNTIF(AH13:AN13,"T")+COUNTIF(AH15:AN15,"T")+COUNTIF(AH17:AN17,"T")</f>
        <v>0</v>
      </c>
      <c r="AK18" s="111" t="s">
        <v>20</v>
      </c>
      <c r="AL18" s="110">
        <f>COUNTIF(AH7:AN7,"MP")+COUNTIF(AH9:AN9,"MP")+COUNTIF(AH11:AN11,"MP")+COUNTIF(AH13:AN13,"MP")+COUNTIF(AH15:AN15,"MP")+COUNTIF(AH17:AN17,"MP")</f>
        <v>0</v>
      </c>
      <c r="AM18" s="111" t="s">
        <v>22</v>
      </c>
      <c r="AN18" s="110">
        <f>COUNTIF(AH7:AN7,"A")+COUNTIF(AH9:AN9,"A")+COUNTIF(AH11:AN11,"A")+COUNTIF(AH13:AN13,"A")+COUNTIF(AH15:AN15,"A")+COUNTIF(AH17:AN17,"A")</f>
        <v>0</v>
      </c>
      <c r="AO18" s="54">
        <f>SUM((AJ18*0.5)+(AL18*0.5)+(AN18))</f>
        <v>0</v>
      </c>
      <c r="AP18" s="11"/>
      <c r="AQ18" s="11"/>
      <c r="AR18" s="21" t="s">
        <v>19</v>
      </c>
      <c r="AS18" s="4">
        <v>9</v>
      </c>
      <c r="AT18" s="131" t="s">
        <v>28</v>
      </c>
      <c r="AU18" s="132"/>
      <c r="AZ18" s="6">
        <v>7</v>
      </c>
    </row>
    <row r="19" spans="1:52" s="3" customFormat="1" ht="15.95" customHeight="1" thickBot="1" thickTop="1">
      <c r="A19" s="6"/>
      <c r="B19" s="64"/>
      <c r="C19" s="66"/>
      <c r="D19" s="66"/>
      <c r="E19" s="66"/>
      <c r="F19" s="66"/>
      <c r="G19" s="66"/>
      <c r="H19" s="66"/>
      <c r="I19" s="66"/>
      <c r="J19" s="66"/>
      <c r="K19" s="39"/>
      <c r="L19" s="85"/>
      <c r="M19" s="66"/>
      <c r="N19" s="66"/>
      <c r="O19" s="66"/>
      <c r="P19" s="66"/>
      <c r="Q19" s="66"/>
      <c r="R19" s="66"/>
      <c r="S19" s="66"/>
      <c r="T19" s="66"/>
      <c r="U19" s="39"/>
      <c r="V19" s="85"/>
      <c r="W19" s="66"/>
      <c r="X19" s="66"/>
      <c r="Y19" s="66"/>
      <c r="Z19" s="66"/>
      <c r="AA19" s="66"/>
      <c r="AB19" s="66"/>
      <c r="AC19" s="66"/>
      <c r="AD19" s="66"/>
      <c r="AE19" s="39"/>
      <c r="AF19" s="85"/>
      <c r="AG19" s="66"/>
      <c r="AH19" s="66"/>
      <c r="AI19" s="66"/>
      <c r="AJ19" s="66"/>
      <c r="AK19" s="66"/>
      <c r="AL19" s="66"/>
      <c r="AM19" s="66"/>
      <c r="AN19" s="66"/>
      <c r="AO19" s="39"/>
      <c r="AQ19" s="6"/>
      <c r="AR19" s="13">
        <f>D18+J18+D33+J33+D52+J52+N18+T18+N35+T35+N52+T52+X52+AD52+X35+AD35+X18+AD18+AH18+AN18+AH35+AN35+AH52+AN52+AR23</f>
        <v>0</v>
      </c>
      <c r="AS19" s="14">
        <v>12</v>
      </c>
      <c r="AT19" s="121" t="s">
        <v>29</v>
      </c>
      <c r="AU19" s="122"/>
      <c r="AZ19" s="18">
        <v>7.5</v>
      </c>
    </row>
    <row r="20" spans="1:52" s="6" customFormat="1" ht="15.75" customHeight="1" thickTop="1">
      <c r="A20" s="3"/>
      <c r="B20" s="64"/>
      <c r="C20" s="67"/>
      <c r="D20" s="112"/>
      <c r="E20" s="112"/>
      <c r="F20" s="112"/>
      <c r="G20" s="112"/>
      <c r="H20" s="112"/>
      <c r="I20" s="112"/>
      <c r="J20" s="112"/>
      <c r="K20" s="47"/>
      <c r="L20" s="85"/>
      <c r="M20" s="67"/>
      <c r="N20" s="112"/>
      <c r="O20" s="112"/>
      <c r="P20" s="112"/>
      <c r="Q20" s="112"/>
      <c r="R20" s="112"/>
      <c r="S20" s="112"/>
      <c r="T20" s="112"/>
      <c r="U20" s="47"/>
      <c r="V20" s="85"/>
      <c r="W20" s="67"/>
      <c r="X20" s="112"/>
      <c r="Y20" s="112"/>
      <c r="Z20" s="112"/>
      <c r="AA20" s="112"/>
      <c r="AB20" s="112"/>
      <c r="AC20" s="112"/>
      <c r="AD20" s="112"/>
      <c r="AE20" s="47"/>
      <c r="AF20" s="85"/>
      <c r="AG20" s="67"/>
      <c r="AH20" s="112"/>
      <c r="AI20" s="112"/>
      <c r="AJ20" s="112"/>
      <c r="AK20" s="112"/>
      <c r="AL20" s="112"/>
      <c r="AM20" s="112"/>
      <c r="AN20" s="112"/>
      <c r="AO20" s="47"/>
      <c r="AP20" s="3"/>
      <c r="AQ20" s="3"/>
      <c r="AR20" s="19"/>
      <c r="AS20" s="4">
        <v>15</v>
      </c>
      <c r="AT20" s="123" t="s">
        <v>30</v>
      </c>
      <c r="AU20" s="124"/>
      <c r="AZ20" s="6">
        <v>8</v>
      </c>
    </row>
    <row r="21" spans="2:52" s="3" customFormat="1" ht="15.95" customHeight="1">
      <c r="B21" s="63"/>
      <c r="C21" s="62"/>
      <c r="D21" s="133" t="s">
        <v>6</v>
      </c>
      <c r="E21" s="134"/>
      <c r="F21" s="134"/>
      <c r="G21" s="134"/>
      <c r="H21" s="134"/>
      <c r="I21" s="134"/>
      <c r="J21" s="135"/>
      <c r="K21" s="86"/>
      <c r="L21" s="87"/>
      <c r="M21" s="62"/>
      <c r="N21" s="133" t="s">
        <v>9</v>
      </c>
      <c r="O21" s="134"/>
      <c r="P21" s="134"/>
      <c r="Q21" s="134"/>
      <c r="R21" s="134"/>
      <c r="S21" s="134"/>
      <c r="T21" s="135"/>
      <c r="U21" s="86"/>
      <c r="V21" s="87"/>
      <c r="W21" s="62"/>
      <c r="X21" s="133" t="s">
        <v>14</v>
      </c>
      <c r="Y21" s="134"/>
      <c r="Z21" s="134"/>
      <c r="AA21" s="134"/>
      <c r="AB21" s="134"/>
      <c r="AC21" s="134"/>
      <c r="AD21" s="135"/>
      <c r="AE21" s="86"/>
      <c r="AF21" s="87"/>
      <c r="AG21" s="62"/>
      <c r="AH21" s="133" t="s">
        <v>15</v>
      </c>
      <c r="AI21" s="134"/>
      <c r="AJ21" s="134"/>
      <c r="AK21" s="134"/>
      <c r="AL21" s="134"/>
      <c r="AM21" s="134"/>
      <c r="AN21" s="135"/>
      <c r="AO21" s="45"/>
      <c r="AP21" s="6"/>
      <c r="AR21" s="22" t="s">
        <v>51</v>
      </c>
      <c r="AS21" s="25"/>
      <c r="AT21" s="26"/>
      <c r="AU21" s="27"/>
      <c r="AZ21" s="6">
        <v>8.5</v>
      </c>
    </row>
    <row r="22" spans="2:52" s="6" customFormat="1" ht="15.95" customHeight="1">
      <c r="B22" s="63"/>
      <c r="C22" s="60"/>
      <c r="D22" s="107" t="s">
        <v>0</v>
      </c>
      <c r="E22" s="107" t="s">
        <v>1</v>
      </c>
      <c r="F22" s="107" t="s">
        <v>2</v>
      </c>
      <c r="G22" s="107" t="s">
        <v>3</v>
      </c>
      <c r="H22" s="107" t="s">
        <v>2</v>
      </c>
      <c r="I22" s="107" t="s">
        <v>4</v>
      </c>
      <c r="J22" s="107" t="s">
        <v>0</v>
      </c>
      <c r="K22" s="81"/>
      <c r="L22" s="82"/>
      <c r="M22" s="60"/>
      <c r="N22" s="107" t="s">
        <v>0</v>
      </c>
      <c r="O22" s="107" t="s">
        <v>1</v>
      </c>
      <c r="P22" s="107" t="s">
        <v>2</v>
      </c>
      <c r="Q22" s="107" t="s">
        <v>3</v>
      </c>
      <c r="R22" s="107" t="s">
        <v>2</v>
      </c>
      <c r="S22" s="107" t="s">
        <v>4</v>
      </c>
      <c r="T22" s="107" t="s">
        <v>0</v>
      </c>
      <c r="U22" s="81"/>
      <c r="V22" s="82"/>
      <c r="W22" s="60"/>
      <c r="X22" s="107" t="s">
        <v>0</v>
      </c>
      <c r="Y22" s="107" t="s">
        <v>1</v>
      </c>
      <c r="Z22" s="107" t="s">
        <v>2</v>
      </c>
      <c r="AA22" s="107" t="s">
        <v>3</v>
      </c>
      <c r="AB22" s="107" t="s">
        <v>2</v>
      </c>
      <c r="AC22" s="107" t="s">
        <v>4</v>
      </c>
      <c r="AD22" s="107" t="s">
        <v>0</v>
      </c>
      <c r="AE22" s="81"/>
      <c r="AF22" s="82"/>
      <c r="AG22" s="60"/>
      <c r="AH22" s="107" t="s">
        <v>0</v>
      </c>
      <c r="AI22" s="107" t="s">
        <v>1</v>
      </c>
      <c r="AJ22" s="107" t="s">
        <v>2</v>
      </c>
      <c r="AK22" s="107" t="s">
        <v>3</v>
      </c>
      <c r="AL22" s="107" t="s">
        <v>2</v>
      </c>
      <c r="AM22" s="107" t="s">
        <v>4</v>
      </c>
      <c r="AN22" s="107" t="s">
        <v>0</v>
      </c>
      <c r="AO22" s="44"/>
      <c r="AP22" s="3"/>
      <c r="AR22" s="23" t="s">
        <v>44</v>
      </c>
      <c r="AS22" s="28"/>
      <c r="AT22" s="29"/>
      <c r="AU22" s="30"/>
      <c r="AZ22" s="6">
        <v>9</v>
      </c>
    </row>
    <row r="23" spans="2:52" s="3" customFormat="1" ht="15.95" customHeight="1">
      <c r="B23" s="64"/>
      <c r="C23" s="60"/>
      <c r="D23" s="51" t="str">
        <f>IF(AND(YEAR(FebSun1)=$A$1,MONTH(FebSun1)=2),FebSun1,"")</f>
        <v/>
      </c>
      <c r="E23" s="51">
        <f>IF(AND(YEAR(FebSun1+1)=$A$1,MONTH(FebSun1+1)=2),FebSun1+1,"")</f>
        <v>42401</v>
      </c>
      <c r="F23" s="51">
        <f>IF(AND(YEAR(FebSun1+2)=$A$1,MONTH(FebSun1+2)=2),FebSun1+2,"")</f>
        <v>42402</v>
      </c>
      <c r="G23" s="51">
        <f>IF(AND(YEAR(FebSun1+3)=$A$1,MONTH(FebSun1+3)=2),FebSun1+3,"")</f>
        <v>42403</v>
      </c>
      <c r="H23" s="51">
        <f>IF(AND(YEAR(FebSun1+4)=$A$1,MONTH(FebSun1+4)=2),FebSun1+4,"")</f>
        <v>42404</v>
      </c>
      <c r="I23" s="51">
        <f>IF(AND(YEAR(FebSun1+5)=$A$1,MONTH(FebSun1+5)=2),FebSun1+5,"")</f>
        <v>42405</v>
      </c>
      <c r="J23" s="51">
        <f>IF(AND(YEAR(FebSun1+6)=$A$1,MONTH(FebSun1+6)=2),FebSun1+6,"")</f>
        <v>42406</v>
      </c>
      <c r="K23" s="49"/>
      <c r="L23" s="16"/>
      <c r="M23" s="60"/>
      <c r="N23" s="51">
        <f>IF(AND(YEAR(MaySun1)=$A$1,MONTH(MaySun1)=5),MaySun1,"")</f>
        <v>42491</v>
      </c>
      <c r="O23" s="51">
        <f>IF(AND(YEAR(MaySun1+1)=$A$1,MONTH(MaySun1+1)=5),MaySun1+1,"")</f>
        <v>42492</v>
      </c>
      <c r="P23" s="51">
        <f>IF(AND(YEAR(MaySun1+2)=$A$1,MONTH(MaySun1+2)=5),MaySun1+2,"")</f>
        <v>42493</v>
      </c>
      <c r="Q23" s="51">
        <f>IF(AND(YEAR(MaySun1+3)=$A$1,MONTH(MaySun1+3)=5),MaySun1+3,"")</f>
        <v>42494</v>
      </c>
      <c r="R23" s="51">
        <f>IF(AND(YEAR(MaySun1+4)=$A$1,MONTH(MaySun1+4)=5),MaySun1+4,"")</f>
        <v>42495</v>
      </c>
      <c r="S23" s="51">
        <f>IF(AND(YEAR(MaySun1+5)=$A$1,MONTH(MaySun1+5)=5),MaySun1+5,"")</f>
        <v>42496</v>
      </c>
      <c r="T23" s="51">
        <f>IF(AND(YEAR(MaySun1+6)=$A$1,MONTH(MaySun1+6)=5),MaySun1+6,"")</f>
        <v>42497</v>
      </c>
      <c r="U23" s="49"/>
      <c r="V23" s="16"/>
      <c r="W23" s="60"/>
      <c r="X23" s="51" t="str">
        <f>IF(AND(YEAR(AugSun1)=$A$1,MONTH(AugSun1)=8),AugSun1,"")</f>
        <v/>
      </c>
      <c r="Y23" s="51">
        <f>IF(AND(YEAR(AugSun1+1)=$A$1,MONTH(AugSun1+1)=8),AugSun1+1,"")</f>
        <v>42583</v>
      </c>
      <c r="Z23" s="51">
        <f>IF(AND(YEAR(AugSun1+2)=$A$1,MONTH(AugSun1+2)=8),AugSun1+2,"")</f>
        <v>42584</v>
      </c>
      <c r="AA23" s="51">
        <f>IF(AND(YEAR(AugSun1+3)=$A$1,MONTH(AugSun1+3)=8),AugSun1+3,"")</f>
        <v>42585</v>
      </c>
      <c r="AB23" s="51">
        <f>IF(AND(YEAR(AugSun1+4)=$A$1,MONTH(AugSun1+4)=8),AugSun1+4,"")</f>
        <v>42586</v>
      </c>
      <c r="AC23" s="51">
        <f>IF(AND(YEAR(AugSun1+5)=$A$1,MONTH(AugSun1+5)=8),AugSun1+5,"")</f>
        <v>42587</v>
      </c>
      <c r="AD23" s="51">
        <f>IF(AND(YEAR(AugSun1+6)=$A$1,MONTH(AugSun1+6)=8),AugSun1+6,"")</f>
        <v>42588</v>
      </c>
      <c r="AE23" s="49"/>
      <c r="AF23" s="16"/>
      <c r="AG23" s="60"/>
      <c r="AH23" s="51" t="str">
        <f>IF(AND(YEAR(NovSun1)=$A$1,MONTH(NovSun1)=11),NovSun1,"")</f>
        <v/>
      </c>
      <c r="AI23" s="51" t="str">
        <f>IF(AND(YEAR(NovSun1+1)=$A$1,MONTH(NovSun1+1)=11),NovSun1+1,"")</f>
        <v/>
      </c>
      <c r="AJ23" s="51">
        <f>IF(AND(YEAR(NovSun1+2)=$A$1,MONTH(NovSun1+2)=11),NovSun1+2,"")</f>
        <v>42675</v>
      </c>
      <c r="AK23" s="51">
        <f>IF(AND(YEAR(NovSun1+3)=$A$1,MONTH(NovSun1+3)=11),NovSun1+3,"")</f>
        <v>42676</v>
      </c>
      <c r="AL23" s="51">
        <f>IF(AND(YEAR(NovSun1+4)=$A$1,MONTH(NovSun1+4)=11),NovSun1+4,"")</f>
        <v>42677</v>
      </c>
      <c r="AM23" s="51">
        <f>IF(AND(YEAR(NovSun1+5)=$A$1,MONTH(NovSun1+5)=11),NovSun1+5,"")</f>
        <v>42678</v>
      </c>
      <c r="AN23" s="51">
        <f>IF(AND(YEAR(NovSun1+6)=$A$1,MONTH(NovSun1+6)=11),NovSun1+6,"")</f>
        <v>42679</v>
      </c>
      <c r="AO23" s="44"/>
      <c r="AP23" s="6"/>
      <c r="AR23" s="24">
        <f>A12</f>
        <v>0</v>
      </c>
      <c r="AS23" s="31"/>
      <c r="AT23" s="32"/>
      <c r="AU23" s="33"/>
      <c r="AZ23" s="6">
        <v>9.5</v>
      </c>
    </row>
    <row r="24" spans="2:52" s="6" customFormat="1" ht="15.95" customHeight="1">
      <c r="B24" s="63"/>
      <c r="C24" s="62"/>
      <c r="D24" s="52"/>
      <c r="E24" s="52"/>
      <c r="F24" s="52"/>
      <c r="G24" s="52"/>
      <c r="H24" s="52"/>
      <c r="I24" s="52"/>
      <c r="J24" s="52"/>
      <c r="K24" s="83"/>
      <c r="L24" s="84"/>
      <c r="M24" s="62"/>
      <c r="N24" s="52"/>
      <c r="O24" s="52"/>
      <c r="P24" s="52"/>
      <c r="Q24" s="52"/>
      <c r="R24" s="52"/>
      <c r="S24" s="52"/>
      <c r="T24" s="52"/>
      <c r="U24" s="83"/>
      <c r="V24" s="84"/>
      <c r="W24" s="62"/>
      <c r="X24" s="52"/>
      <c r="Y24" s="52"/>
      <c r="Z24" s="52"/>
      <c r="AA24" s="52"/>
      <c r="AB24" s="52"/>
      <c r="AC24" s="52"/>
      <c r="AD24" s="52"/>
      <c r="AE24" s="83"/>
      <c r="AF24" s="84"/>
      <c r="AG24" s="62"/>
      <c r="AH24" s="52"/>
      <c r="AI24" s="52"/>
      <c r="AJ24" s="52"/>
      <c r="AK24" s="52"/>
      <c r="AL24" s="52"/>
      <c r="AM24" s="52"/>
      <c r="AN24" s="52"/>
      <c r="AO24" s="45"/>
      <c r="AP24" s="3"/>
      <c r="AR24" s="3"/>
      <c r="AS24" s="3"/>
      <c r="AT24" s="3"/>
      <c r="AU24" s="3"/>
      <c r="AZ24" s="18">
        <v>10</v>
      </c>
    </row>
    <row r="25" spans="2:52" s="3" customFormat="1" ht="15.95" customHeight="1" thickBot="1">
      <c r="B25" s="64"/>
      <c r="C25" s="60"/>
      <c r="D25" s="51">
        <f>IF(AND(YEAR(FebSun1+7)=$A$1,MONTH(FebSun1+7)=2),FebSun1+7,"")</f>
        <v>42407</v>
      </c>
      <c r="E25" s="51">
        <f>IF(AND(YEAR(FebSun1+8)=$A$1,MONTH(FebSun1+8)=2),FebSun1+8,"")</f>
        <v>42408</v>
      </c>
      <c r="F25" s="51">
        <f>IF(AND(YEAR(FebSun1+9)=$A$1,MONTH(FebSun1+9)=2),FebSun1+9,"")</f>
        <v>42409</v>
      </c>
      <c r="G25" s="51">
        <f>IF(AND(YEAR(FebSun1+10)=$A$1,MONTH(FebSun1+10)=2),FebSun1+10,"")</f>
        <v>42410</v>
      </c>
      <c r="H25" s="51">
        <f>IF(AND(YEAR(FebSun1+11)=$A$1,MONTH(FebSun1+11)=2),FebSun1+11,"")</f>
        <v>42411</v>
      </c>
      <c r="I25" s="51">
        <f>IF(AND(YEAR(FebSun1+12)=$A$1,MONTH(FebSun1+12)=2),FebSun1+12,"")</f>
        <v>42412</v>
      </c>
      <c r="J25" s="51">
        <f>IF(AND(YEAR(FebSun1+13)=$A$1,MONTH(FebSun1+13)=2),FebSun1+13,"")</f>
        <v>42413</v>
      </c>
      <c r="K25" s="49"/>
      <c r="L25" s="16"/>
      <c r="M25" s="60"/>
      <c r="N25" s="51">
        <f>IF(AND(YEAR(MaySun1+7)=$A$1,MONTH(MaySun1+7)=5),MaySun1+7,"")</f>
        <v>42498</v>
      </c>
      <c r="O25" s="51">
        <f>IF(AND(YEAR(MaySun1+8)=$A$1,MONTH(MaySun1+8)=5),MaySun1+8,"")</f>
        <v>42499</v>
      </c>
      <c r="P25" s="51">
        <f>IF(AND(YEAR(MaySun1+9)=$A$1,MONTH(MaySun1+9)=5),MaySun1+9,"")</f>
        <v>42500</v>
      </c>
      <c r="Q25" s="51">
        <f>IF(AND(YEAR(MaySun1+10)=$A$1,MONTH(MaySun1+10)=5),MaySun1+10,"")</f>
        <v>42501</v>
      </c>
      <c r="R25" s="51">
        <f>IF(AND(YEAR(MaySun1+11)=$A$1,MONTH(MaySun1+11)=5),MaySun1+11,"")</f>
        <v>42502</v>
      </c>
      <c r="S25" s="51">
        <f>IF(AND(YEAR(MaySun1+12)=$A$1,MONTH(MaySun1+12)=5),MaySun1+12,"")</f>
        <v>42503</v>
      </c>
      <c r="T25" s="51">
        <f>IF(AND(YEAR(MaySun1+13)=$A$1,MONTH(MaySun1+13)=5),MaySun1+13,"")</f>
        <v>42504</v>
      </c>
      <c r="U25" s="49"/>
      <c r="V25" s="16"/>
      <c r="W25" s="60"/>
      <c r="X25" s="51">
        <f>IF(AND(YEAR(AugSun1+7)=$A$1,MONTH(AugSun1+7)=8),AugSun1+7,"")</f>
        <v>42589</v>
      </c>
      <c r="Y25" s="51">
        <f>IF(AND(YEAR(AugSun1+8)=$A$1,MONTH(AugSun1+8)=8),AugSun1+8,"")</f>
        <v>42590</v>
      </c>
      <c r="Z25" s="51">
        <f>IF(AND(YEAR(AugSun1+9)=$A$1,MONTH(AugSun1+9)=8),AugSun1+9,"")</f>
        <v>42591</v>
      </c>
      <c r="AA25" s="51">
        <f>IF(AND(YEAR(AugSun1+10)=$A$1,MONTH(AugSun1+10)=8),AugSun1+10,"")</f>
        <v>42592</v>
      </c>
      <c r="AB25" s="51">
        <f>IF(AND(YEAR(AugSun1+11)=$A$1,MONTH(AugSun1+11)=8),AugSun1+11,"")</f>
        <v>42593</v>
      </c>
      <c r="AC25" s="51">
        <f>IF(AND(YEAR(AugSun1+12)=$A$1,MONTH(AugSun1+12)=8),AugSun1+12,"")</f>
        <v>42594</v>
      </c>
      <c r="AD25" s="51">
        <f>IF(AND(YEAR(AugSun1+13)=$A$1,MONTH(AugSun1+13)=8),AugSun1+13,"")</f>
        <v>42595</v>
      </c>
      <c r="AE25" s="49"/>
      <c r="AF25" s="16"/>
      <c r="AG25" s="60"/>
      <c r="AH25" s="51">
        <f>IF(AND(YEAR(NovSun1+7)=$A$1,MONTH(NovSun1+7)=11),NovSun1+7,"")</f>
        <v>42680</v>
      </c>
      <c r="AI25" s="51">
        <f>IF(AND(YEAR(NovSun1+8)=$A$1,MONTH(NovSun1+8)=11),NovSun1+8,"")</f>
        <v>42681</v>
      </c>
      <c r="AJ25" s="51">
        <f>IF(AND(YEAR(NovSun1+9)=$A$1,MONTH(NovSun1+9)=11),NovSun1+9,"")</f>
        <v>42682</v>
      </c>
      <c r="AK25" s="51">
        <f>IF(AND(YEAR(NovSun1+10)=$A$1,MONTH(NovSun1+10)=11),NovSun1+10,"")</f>
        <v>42683</v>
      </c>
      <c r="AL25" s="51">
        <f>IF(AND(YEAR(NovSun1+11)=$A$1,MONTH(NovSun1+11)=11),NovSun1+11,"")</f>
        <v>42684</v>
      </c>
      <c r="AM25" s="51">
        <f>IF(AND(YEAR(NovSun1+12)=$A$1,MONTH(NovSun1+12)=11),NovSun1+12,"")</f>
        <v>42685</v>
      </c>
      <c r="AN25" s="51">
        <f>IF(AND(YEAR(NovSun1+13)=$A$1,MONTH(NovSun1+13)=11),NovSun1+13,"")</f>
        <v>42686</v>
      </c>
      <c r="AO25" s="44"/>
      <c r="AP25" s="6"/>
      <c r="AR25" s="50" t="s">
        <v>40</v>
      </c>
      <c r="AS25" s="4">
        <v>1</v>
      </c>
      <c r="AT25" s="125" t="s">
        <v>28</v>
      </c>
      <c r="AU25" s="126"/>
      <c r="AZ25" s="6">
        <v>10.5</v>
      </c>
    </row>
    <row r="26" spans="2:52" s="6" customFormat="1" ht="15.95" customHeight="1" thickBot="1">
      <c r="B26" s="63"/>
      <c r="C26" s="62"/>
      <c r="D26" s="52"/>
      <c r="E26" s="52"/>
      <c r="F26" s="52"/>
      <c r="G26" s="52"/>
      <c r="H26" s="52"/>
      <c r="I26" s="52"/>
      <c r="J26" s="52"/>
      <c r="K26" s="83"/>
      <c r="L26" s="84"/>
      <c r="M26" s="62"/>
      <c r="N26" s="52"/>
      <c r="O26" s="52"/>
      <c r="P26" s="52"/>
      <c r="Q26" s="52"/>
      <c r="R26" s="52"/>
      <c r="S26" s="52"/>
      <c r="T26" s="52"/>
      <c r="U26" s="83"/>
      <c r="V26" s="84"/>
      <c r="W26" s="62"/>
      <c r="X26" s="52"/>
      <c r="Y26" s="52"/>
      <c r="Z26" s="52"/>
      <c r="AA26" s="52"/>
      <c r="AB26" s="52"/>
      <c r="AC26" s="52"/>
      <c r="AD26" s="52"/>
      <c r="AE26" s="83"/>
      <c r="AF26" s="84"/>
      <c r="AG26" s="62"/>
      <c r="AH26" s="52"/>
      <c r="AI26" s="52"/>
      <c r="AJ26" s="52"/>
      <c r="AK26" s="52"/>
      <c r="AL26" s="52"/>
      <c r="AM26" s="52"/>
      <c r="AN26" s="52"/>
      <c r="AO26" s="45"/>
      <c r="AP26" s="3"/>
      <c r="AR26" s="15">
        <f>COUNTIF(D7:J7,"NC")+COUNTIF(D9:J9,"NC")+COUNTIF(D11:J11,"NC")+COUNTIF(D13:J13,"NC")+COUNTIF(D17:J17,"NC")+COUNTIF(D24:J24,"NC")+COUNTIF(D26:J26,"NC")+COUNTIF(D28:J28,"NC")+COUNTIF(D30:J30,"NC")+COUNTIF(D32:J32,"NC")+COUNTIF(D43:J43,"NC")+COUNTIF(D45:J45,"NC")+COUNTIF(D47:J47,"NC")+COUNTIF(D49:J49,"NC")+COUNTIF(D51:J51,"NC")+COUNTIF(N7:T7,"NC")+COUNTIF(N9:T9,"NC")+COUNTIF(N11:T11,"NC")+COUNTIF(N13:T13,"NC")+COUNTIF(N17:T17,"NC")+COUNTIF(N24:T24,"NC")+COUNTIF(N26:T26,"NC")+COUNTIF(N28:T28,"NC")+COUNTIF(N30:T30,"NC")+COUNTIF(N34:T34,"NC")+COUNTIF(N43:T43,"NC")+COUNTIF(N45:T45,"NC")+COUNTIF(N47:T47,"NC")+COUNTIF(N49:T49,"NC")+COUNTIF(N51:T51,"NC")+COUNTIF(X7:AD7,"NC")+COUNTIF(X9:AD9,"NC")+COUNTIF(X11:AD11,"NC")+COUNTIF(X13:AD13,"NC")+COUNTIF(X17:AD17,"NC")+COUNTIF(X24:AD24,"NC")+COUNTIF(X26:AD26,"NC")+COUNTIF(X28:AD28,"NC")+COUNTIF(X30:AD30,"NC")+COUNTIF(X34:AD34,"NC")+COUNTIF(X43:AD43,"NC")+COUNTIF(X45:AD45,"NC")+COUNTIF(X47:AD47,"NC")+COUNTIF(X49:AD49,"NC")+COUNTIF(X51:AD51,"NC")+COUNTIF(AH7:AN7,"NC")+COUNTIF(AH9:AN9,"NC")+COUNTIF(AH11:AN11,"NC")+COUNTIF(AH13:AN13,"NC")+COUNTIF(AH17:AN17,"NC")+COUNTIF(AH24:AN24,"NC")+COUNTIF(AH26:AN26,"NC")+COUNTIF(AH28:AN28,"NC")+COUNTIF(AH30:AN30,"NC")+COUNTIF(AH34:AN34,"NC")+COUNTIF(AH43:AN43,"NC")+COUNTIF(AH45:AN45,"NC")+COUNTIF(AH47:AN47,"NC")+COUNTIF(AH49:AN49,"NC")+COUNTIF(AH51:AN51,"NC")+COUNTIF(D41:J41,"NC")+COUNTIF(N41:T41,"NC")+COUNTIF(X41:AD41,"NC")+COUNTIF(AH41:AN41,"NC")</f>
        <v>0</v>
      </c>
      <c r="AS26" s="14">
        <v>2</v>
      </c>
      <c r="AT26" s="121" t="s">
        <v>29</v>
      </c>
      <c r="AU26" s="122"/>
      <c r="AZ26" s="6">
        <v>11</v>
      </c>
    </row>
    <row r="27" spans="2:52" s="3" customFormat="1" ht="15.95" customHeight="1">
      <c r="B27" s="64"/>
      <c r="C27" s="60"/>
      <c r="D27" s="51">
        <f>IF(AND(YEAR(FebSun1+14)=$A$1,MONTH(FebSun1+14)=2),FebSun1+14,"")</f>
        <v>42414</v>
      </c>
      <c r="E27" s="51">
        <f>IF(AND(YEAR(FebSun1+15)=$A$1,MONTH(FebSun1+15)=2),FebSun1+15,"")</f>
        <v>42415</v>
      </c>
      <c r="F27" s="51">
        <f>IF(AND(YEAR(FebSun1+16)=$A$1,MONTH(FebSun1+16)=2),FebSun1+16,"")</f>
        <v>42416</v>
      </c>
      <c r="G27" s="51">
        <f>IF(AND(YEAR(FebSun1+17)=$A$1,MONTH(FebSun1+17)=2),FebSun1+17,"")</f>
        <v>42417</v>
      </c>
      <c r="H27" s="51">
        <f>IF(AND(YEAR(FebSun1+18)=$A$1,MONTH(FebSun1+18)=2),FebSun1+18,"")</f>
        <v>42418</v>
      </c>
      <c r="I27" s="51">
        <f>IF(AND(YEAR(FebSun1+19)=$A$1,MONTH(FebSun1+19)=2),FebSun1+19,"")</f>
        <v>42419</v>
      </c>
      <c r="J27" s="51">
        <f>IF(AND(YEAR(FebSun1+20)=$A$1,MONTH(FebSun1+20)=2),FebSun1+20,"")</f>
        <v>42420</v>
      </c>
      <c r="K27" s="49"/>
      <c r="L27" s="16"/>
      <c r="M27" s="60"/>
      <c r="N27" s="51">
        <f>IF(AND(YEAR(MaySun1+14)=$A$1,MONTH(MaySun1+14)=5),MaySun1+14,"")</f>
        <v>42505</v>
      </c>
      <c r="O27" s="51">
        <f>IF(AND(YEAR(MaySun1+15)=$A$1,MONTH(MaySun1+15)=5),MaySun1+15,"")</f>
        <v>42506</v>
      </c>
      <c r="P27" s="51">
        <f>IF(AND(YEAR(MaySun1+16)=$A$1,MONTH(MaySun1+16)=5),MaySun1+16,"")</f>
        <v>42507</v>
      </c>
      <c r="Q27" s="51">
        <f>IF(AND(YEAR(MaySun1+17)=$A$1,MONTH(MaySun1+17)=5),MaySun1+17,"")</f>
        <v>42508</v>
      </c>
      <c r="R27" s="51">
        <f>IF(AND(YEAR(MaySun1+18)=$A$1,MONTH(MaySun1+18)=5),MaySun1+18,"")</f>
        <v>42509</v>
      </c>
      <c r="S27" s="51">
        <f>IF(AND(YEAR(MaySun1+19)=$A$1,MONTH(MaySun1+19)=5),MaySun1+19,"")</f>
        <v>42510</v>
      </c>
      <c r="T27" s="51">
        <f>IF(AND(YEAR(MaySun1+20)=$A$1,MONTH(MaySun1+20)=5),MaySun1+20,"")</f>
        <v>42511</v>
      </c>
      <c r="U27" s="49"/>
      <c r="V27" s="16"/>
      <c r="W27" s="60"/>
      <c r="X27" s="51">
        <f>IF(AND(YEAR(AugSun1+14)=$A$1,MONTH(AugSun1+14)=8),AugSun1+14,"")</f>
        <v>42596</v>
      </c>
      <c r="Y27" s="51">
        <f>IF(AND(YEAR(AugSun1+15)=$A$1,MONTH(AugSun1+15)=8),AugSun1+15,"")</f>
        <v>42597</v>
      </c>
      <c r="Z27" s="51">
        <f>IF(AND(YEAR(AugSun1+16)=$A$1,MONTH(AugSun1+16)=8),AugSun1+16,"")</f>
        <v>42598</v>
      </c>
      <c r="AA27" s="51">
        <f>IF(AND(YEAR(AugSun1+17)=$A$1,MONTH(AugSun1+17)=8),AugSun1+17,"")</f>
        <v>42599</v>
      </c>
      <c r="AB27" s="51">
        <f>IF(AND(YEAR(AugSun1+18)=$A$1,MONTH(AugSun1+18)=8),AugSun1+18,"")</f>
        <v>42600</v>
      </c>
      <c r="AC27" s="51">
        <f>IF(AND(YEAR(AugSun1+19)=$A$1,MONTH(AugSun1+19)=8),AugSun1+19,"")</f>
        <v>42601</v>
      </c>
      <c r="AD27" s="51">
        <f>IF(AND(YEAR(AugSun1+20)=$A$1,MONTH(AugSun1+20)=8),AugSun1+20,"")</f>
        <v>42602</v>
      </c>
      <c r="AE27" s="49"/>
      <c r="AF27" s="16"/>
      <c r="AG27" s="60"/>
      <c r="AH27" s="51">
        <f>IF(AND(YEAR(NovSun1+14)=$A$1,MONTH(NovSun1+14)=11),NovSun1+14,"")</f>
        <v>42687</v>
      </c>
      <c r="AI27" s="51">
        <f>IF(AND(YEAR(NovSun1+15)=$A$1,MONTH(NovSun1+15)=11),NovSun1+15,"")</f>
        <v>42688</v>
      </c>
      <c r="AJ27" s="51">
        <f>IF(AND(YEAR(NovSun1+16)=$A$1,MONTH(NovSun1+16)=11),NovSun1+16,"")</f>
        <v>42689</v>
      </c>
      <c r="AK27" s="51">
        <f>IF(AND(YEAR(NovSun1+17)=$A$1,MONTH(NovSun1+17)=11),NovSun1+17,"")</f>
        <v>42690</v>
      </c>
      <c r="AL27" s="51">
        <f>IF(AND(YEAR(NovSun1+18)=$A$1,MONTH(NovSun1+18)=11),NovSun1+18,"")</f>
        <v>42691</v>
      </c>
      <c r="AM27" s="51">
        <f>IF(AND(YEAR(NovSun1+19)=$A$1,MONTH(NovSun1+19)=11),NovSun1+19,"")</f>
        <v>42692</v>
      </c>
      <c r="AN27" s="51">
        <f>IF(AND(YEAR(NovSun1+20)=$A$1,MONTH(NovSun1+20)=11),NovSun1+20,"")</f>
        <v>42693</v>
      </c>
      <c r="AO27" s="44"/>
      <c r="AP27" s="6"/>
      <c r="AR27" s="34"/>
      <c r="AS27" s="4">
        <v>3</v>
      </c>
      <c r="AT27" s="123" t="s">
        <v>30</v>
      </c>
      <c r="AU27" s="124"/>
      <c r="AZ27" s="6">
        <v>11.5</v>
      </c>
    </row>
    <row r="28" spans="2:52" s="6" customFormat="1" ht="15.95" customHeight="1">
      <c r="B28" s="63"/>
      <c r="C28" s="62"/>
      <c r="D28" s="52"/>
      <c r="E28" s="52"/>
      <c r="F28" s="52"/>
      <c r="G28" s="52"/>
      <c r="H28" s="52"/>
      <c r="I28" s="52"/>
      <c r="J28" s="52"/>
      <c r="K28" s="83"/>
      <c r="L28" s="84"/>
      <c r="M28" s="62"/>
      <c r="N28" s="52"/>
      <c r="O28" s="52"/>
      <c r="P28" s="52"/>
      <c r="Q28" s="52"/>
      <c r="R28" s="52"/>
      <c r="S28" s="52"/>
      <c r="T28" s="52"/>
      <c r="U28" s="83"/>
      <c r="V28" s="84"/>
      <c r="W28" s="62"/>
      <c r="X28" s="52"/>
      <c r="Y28" s="52"/>
      <c r="Z28" s="52"/>
      <c r="AA28" s="52"/>
      <c r="AB28" s="52"/>
      <c r="AC28" s="52"/>
      <c r="AD28" s="52"/>
      <c r="AE28" s="83"/>
      <c r="AF28" s="84"/>
      <c r="AG28" s="62"/>
      <c r="AH28" s="52"/>
      <c r="AI28" s="52"/>
      <c r="AJ28" s="52"/>
      <c r="AK28" s="52"/>
      <c r="AL28" s="52"/>
      <c r="AM28" s="52"/>
      <c r="AN28" s="52"/>
      <c r="AO28" s="45"/>
      <c r="AR28" s="3"/>
      <c r="AS28" s="3"/>
      <c r="AT28" s="3"/>
      <c r="AU28" s="3"/>
      <c r="AZ28" s="6">
        <v>12</v>
      </c>
    </row>
    <row r="29" spans="2:52" s="6" customFormat="1" ht="15.95" customHeight="1">
      <c r="B29" s="64"/>
      <c r="C29" s="60"/>
      <c r="D29" s="51">
        <f>IF(AND(YEAR(FebSun1+21)=$A$1,MONTH(FebSun1+21)=2),FebSun1+21,"")</f>
        <v>42421</v>
      </c>
      <c r="E29" s="51">
        <f>IF(AND(YEAR(FebSun1+22)=$A$1,MONTH(FebSun1+22)=2),FebSun1+22,"")</f>
        <v>42422</v>
      </c>
      <c r="F29" s="51">
        <f>IF(AND(YEAR(FebSun1+23)=$A$1,MONTH(FebSun1+23)=2),FebSun1+23,"")</f>
        <v>42423</v>
      </c>
      <c r="G29" s="51">
        <f>IF(AND(YEAR(FebSun1+24)=$A$1,MONTH(FebSun1+24)=2),FebSun1+24,"")</f>
        <v>42424</v>
      </c>
      <c r="H29" s="51">
        <f>IF(AND(YEAR(FebSun1+25)=$A$1,MONTH(FebSun1+25)=2),FebSun1+25,"")</f>
        <v>42425</v>
      </c>
      <c r="I29" s="51">
        <f>IF(AND(YEAR(FebSun1+26)=$A$1,MONTH(FebSun1+26)=2),FebSun1+26,"")</f>
        <v>42426</v>
      </c>
      <c r="J29" s="51">
        <f>IF(AND(YEAR(FebSun1+27)=$A$1,MONTH(FebSun1+27)=2),FebSun1+27,"")</f>
        <v>42427</v>
      </c>
      <c r="K29" s="49"/>
      <c r="L29" s="16"/>
      <c r="M29" s="60"/>
      <c r="N29" s="51">
        <f>IF(AND(YEAR(MaySun1+21)=$A$1,MONTH(MaySun1+21)=5),MaySun1+21,"")</f>
        <v>42512</v>
      </c>
      <c r="O29" s="51">
        <f>IF(AND(YEAR(MaySun1+22)=$A$1,MONTH(MaySun1+22)=5),MaySun1+22,"")</f>
        <v>42513</v>
      </c>
      <c r="P29" s="51">
        <f>IF(AND(YEAR(MaySun1+23)=$A$1,MONTH(MaySun1+23)=5),MaySun1+23,"")</f>
        <v>42514</v>
      </c>
      <c r="Q29" s="51">
        <f>IF(AND(YEAR(MaySun1+24)=$A$1,MONTH(MaySun1+24)=5),MaySun1+24,"")</f>
        <v>42515</v>
      </c>
      <c r="R29" s="51">
        <f>IF(AND(YEAR(MaySun1+25)=$A$1,MONTH(MaySun1+25)=5),MaySun1+25,"")</f>
        <v>42516</v>
      </c>
      <c r="S29" s="51">
        <f>IF(AND(YEAR(MaySun1+26)=$A$1,MONTH(MaySun1+26)=5),MaySun1+26,"")</f>
        <v>42517</v>
      </c>
      <c r="T29" s="51">
        <f>IF(AND(YEAR(MaySun1+27)=$A$1,MONTH(MaySun1+27)=5),MaySun1+27,"")</f>
        <v>42518</v>
      </c>
      <c r="U29" s="49"/>
      <c r="V29" s="16"/>
      <c r="W29" s="60"/>
      <c r="X29" s="51">
        <f>IF(AND(YEAR(AugSun1+21)=$A$1,MONTH(AugSun1+21)=8),AugSun1+21,"")</f>
        <v>42603</v>
      </c>
      <c r="Y29" s="51">
        <f>IF(AND(YEAR(AugSun1+22)=$A$1,MONTH(AugSun1+22)=8),AugSun1+22,"")</f>
        <v>42604</v>
      </c>
      <c r="Z29" s="51">
        <f>IF(AND(YEAR(AugSun1+23)=$A$1,MONTH(AugSun1+23)=8),AugSun1+23,"")</f>
        <v>42605</v>
      </c>
      <c r="AA29" s="51">
        <f>IF(AND(YEAR(AugSun1+24)=$A$1,MONTH(AugSun1+24)=8),AugSun1+24,"")</f>
        <v>42606</v>
      </c>
      <c r="AB29" s="51">
        <f>IF(AND(YEAR(AugSun1+25)=$A$1,MONTH(AugSun1+25)=8),AugSun1+25,"")</f>
        <v>42607</v>
      </c>
      <c r="AC29" s="51">
        <f>IF(AND(YEAR(AugSun1+26)=$A$1,MONTH(AugSun1+26)=8),AugSun1+26,"")</f>
        <v>42608</v>
      </c>
      <c r="AD29" s="51">
        <f>IF(AND(YEAR(AugSun1+27)=$A$1,MONTH(AugSun1+27)=8),AugSun1+27,"")</f>
        <v>42609</v>
      </c>
      <c r="AE29" s="49"/>
      <c r="AF29" s="16"/>
      <c r="AG29" s="60"/>
      <c r="AH29" s="51">
        <f>IF(AND(YEAR(NovSun1+21)=$A$1,MONTH(NovSun1+21)=11),NovSun1+21,"")</f>
        <v>42694</v>
      </c>
      <c r="AI29" s="51">
        <f>IF(AND(YEAR(NovSun1+22)=$A$1,MONTH(NovSun1+22)=11),NovSun1+22,"")</f>
        <v>42695</v>
      </c>
      <c r="AJ29" s="51">
        <f>IF(AND(YEAR(NovSun1+23)=$A$1,MONTH(NovSun1+23)=11),NovSun1+23,"")</f>
        <v>42696</v>
      </c>
      <c r="AK29" s="51">
        <f>IF(AND(YEAR(NovSun1+24)=$A$1,MONTH(NovSun1+24)=11),NovSun1+24,"")</f>
        <v>42697</v>
      </c>
      <c r="AL29" s="51">
        <f>IF(AND(YEAR(NovSun1+25)=$A$1,MONTH(NovSun1+25)=11),NovSun1+25,"")</f>
        <v>42698</v>
      </c>
      <c r="AM29" s="51">
        <f>IF(AND(YEAR(NovSun1+26)=$A$1,MONTH(NovSun1+26)=11),NovSun1+26,"")</f>
        <v>42699</v>
      </c>
      <c r="AN29" s="51">
        <f>IF(AND(YEAR(NovSun1+27)=$A$1,MONTH(NovSun1+27)=11),NovSun1+27,"")</f>
        <v>42700</v>
      </c>
      <c r="AO29" s="44"/>
      <c r="AZ29" s="18">
        <v>12.5</v>
      </c>
    </row>
    <row r="30" spans="2:52" s="6" customFormat="1" ht="15.95" customHeight="1">
      <c r="B30" s="64"/>
      <c r="C30" s="62"/>
      <c r="D30" s="52"/>
      <c r="E30" s="52"/>
      <c r="F30" s="52"/>
      <c r="G30" s="52"/>
      <c r="H30" s="52"/>
      <c r="I30" s="52"/>
      <c r="J30" s="52"/>
      <c r="K30" s="83"/>
      <c r="L30" s="84"/>
      <c r="M30" s="62"/>
      <c r="N30" s="52"/>
      <c r="O30" s="52"/>
      <c r="P30" s="52"/>
      <c r="Q30" s="52"/>
      <c r="R30" s="52"/>
      <c r="S30" s="52"/>
      <c r="T30" s="52"/>
      <c r="U30" s="83"/>
      <c r="V30" s="84"/>
      <c r="W30" s="62"/>
      <c r="X30" s="52"/>
      <c r="Y30" s="52"/>
      <c r="Z30" s="52"/>
      <c r="AA30" s="52"/>
      <c r="AB30" s="52"/>
      <c r="AC30" s="52"/>
      <c r="AD30" s="52"/>
      <c r="AE30" s="83"/>
      <c r="AF30" s="84"/>
      <c r="AG30" s="62"/>
      <c r="AH30" s="52"/>
      <c r="AI30" s="52"/>
      <c r="AJ30" s="52"/>
      <c r="AK30" s="52"/>
      <c r="AL30" s="52"/>
      <c r="AM30" s="52"/>
      <c r="AN30" s="52"/>
      <c r="AO30" s="45"/>
      <c r="AP30" s="3"/>
      <c r="AR30" s="3"/>
      <c r="AS30" s="3"/>
      <c r="AT30" s="3"/>
      <c r="AU30" s="3"/>
      <c r="AZ30" s="6">
        <v>13</v>
      </c>
    </row>
    <row r="31" spans="2:52" s="3" customFormat="1" ht="15.95" customHeight="1">
      <c r="B31" s="64"/>
      <c r="C31" s="62"/>
      <c r="D31" s="51">
        <f>IF(AND(YEAR(FebSun1+28)=$A$1,MONTH(FebSun1+28)=2),FebSun1+28,"")</f>
        <v>42428</v>
      </c>
      <c r="E31" s="51">
        <f>IF(AND(YEAR(FebSun1+29)=$A$1,MONTH(FebSun1+29)=2),FebSun1+29,"")</f>
        <v>42429</v>
      </c>
      <c r="F31" s="51" t="str">
        <f>IF(AND(YEAR(FebSun1+30)=$A$1,MONTH(FebSun1+30)=2),FebSun1+30,"")</f>
        <v/>
      </c>
      <c r="G31" s="51" t="str">
        <f>IF(AND(YEAR(FebSun1+31)=$A$1,MONTH(FebSun1+31)=2),FebSun1+31,"")</f>
        <v/>
      </c>
      <c r="H31" s="51" t="str">
        <f>IF(AND(YEAR(FebSun1+32)=$A$1,MONTH(FebSun1+32)=2),FebSun1+32,"")</f>
        <v/>
      </c>
      <c r="I31" s="51" t="str">
        <f>IF(AND(YEAR(FebSun1+33)=$A$1,MONTH(FebSun1+33)=2),FebSun1+33,"")</f>
        <v/>
      </c>
      <c r="J31" s="51" t="str">
        <f>IF(AND(YEAR(FebSun1+34)=$A$1,MONTH(FebSun1+34)=2),FebSun1+34,"")</f>
        <v/>
      </c>
      <c r="K31" s="49"/>
      <c r="L31" s="84"/>
      <c r="M31" s="62"/>
      <c r="N31" s="51">
        <f>IF(AND(YEAR(MaySun1+28)=$A$1,MONTH(MaySun1+28)=5),MaySun1+28,"")</f>
        <v>42519</v>
      </c>
      <c r="O31" s="51">
        <f>IF(AND(YEAR(MaySun1+29)=$A$1,MONTH(MaySun1+29)=5),MaySun1+29,"")</f>
        <v>42520</v>
      </c>
      <c r="P31" s="51">
        <f>IF(AND(YEAR(MaySun1+30)=$A$1,MONTH(MaySun1+30)=5),MaySun1+30,"")</f>
        <v>42521</v>
      </c>
      <c r="Q31" s="51" t="str">
        <f>IF(AND(YEAR(MaySun1+31)=$A$1,MONTH(MaySun1+31)=5),MaySun1+31,"")</f>
        <v/>
      </c>
      <c r="R31" s="51" t="str">
        <f>IF(AND(YEAR(MaySun1+32)=$A$1,MONTH(MaySun1+32)=5),MaySun1+32,"")</f>
        <v/>
      </c>
      <c r="S31" s="51" t="str">
        <f>IF(AND(YEAR(MaySun1+33)=$A$1,MONTH(MaySun1+33)=5),MaySun1+33,"")</f>
        <v/>
      </c>
      <c r="T31" s="51" t="str">
        <f>IF(AND(YEAR(MaySun1+34)=$A$1,MONTH(MaySun1+34)=5),MaySun1+34,"")</f>
        <v/>
      </c>
      <c r="U31" s="83"/>
      <c r="V31" s="84"/>
      <c r="W31" s="62"/>
      <c r="X31" s="51">
        <f>IF(AND(YEAR(AugSun1+28)=$A$1,MONTH(AugSun1+28)=8),AugSun1+28,"")</f>
        <v>42610</v>
      </c>
      <c r="Y31" s="51">
        <f>IF(AND(YEAR(AugSun1+29)=$A$1,MONTH(AugSun1+29)=8),AugSun1+29,"")</f>
        <v>42611</v>
      </c>
      <c r="Z31" s="51">
        <f>IF(AND(YEAR(AugSun1+30)=$A$1,MONTH(AugSun1+30)=8),AugSun1+30,"")</f>
        <v>42612</v>
      </c>
      <c r="AA31" s="51">
        <f>IF(AND(YEAR(AugSun1+31)=$A$1,MONTH(AugSun1+31)=8),AugSun1+31,"")</f>
        <v>42613</v>
      </c>
      <c r="AB31" s="51" t="str">
        <f>IF(AND(YEAR(AugSun1+32)=$A$1,MONTH(AugSun1+32)=8),AugSun1+32,"")</f>
        <v/>
      </c>
      <c r="AC31" s="51" t="str">
        <f>IF(AND(YEAR(AugSun1+33)=$A$1,MONTH(AugSun1+33)=8),AugSun1+33,"")</f>
        <v/>
      </c>
      <c r="AD31" s="51" t="str">
        <f>IF(AND(YEAR(AugSun1+34)=$A$1,MONTH(AugSun1+34)=8),AugSun1+34,"")</f>
        <v/>
      </c>
      <c r="AE31" s="83"/>
      <c r="AF31" s="84"/>
      <c r="AG31" s="62"/>
      <c r="AH31" s="51">
        <f>IF(AND(YEAR(NovSun1+28)=$A$1,MONTH(NovSun1+28)=11),NovSun1+28,"")</f>
        <v>42701</v>
      </c>
      <c r="AI31" s="51">
        <f>IF(AND(YEAR(NovSun1+29)=$A$1,MONTH(NovSun1+29)=11),NovSun1+29,"")</f>
        <v>42702</v>
      </c>
      <c r="AJ31" s="51">
        <f>IF(AND(YEAR(NovSun1+30)=$A$1,MONTH(NovSun1+30)=11),NovSun1+30,"")</f>
        <v>42703</v>
      </c>
      <c r="AK31" s="51">
        <f>IF(AND(YEAR(NovSun1+31)=$A$1,MONTH(NovSun1+31)=11),NovSun1+31,"")</f>
        <v>42704</v>
      </c>
      <c r="AL31" s="51" t="str">
        <f>IF(AND(YEAR(NovSun1+32)=$A$1,MONTH(NovSun1+32)=11),NovSun1+32,"")</f>
        <v/>
      </c>
      <c r="AM31" s="51" t="str">
        <f>IF(AND(YEAR(NovSun1+33)=$A$1,MONTH(NovSun1+33)=11),NovSun1+33,"")</f>
        <v/>
      </c>
      <c r="AN31" s="51" t="str">
        <f>IF(AND(YEAR(NovSun1+34)=$A$1,MONTH(NovSun1+34)=11),NovSun1+34,"")</f>
        <v/>
      </c>
      <c r="AO31" s="45"/>
      <c r="AP31" s="16"/>
      <c r="AR31" s="6"/>
      <c r="AS31" s="6"/>
      <c r="AT31" s="6"/>
      <c r="AU31" s="6"/>
      <c r="AZ31" s="6">
        <v>13.5</v>
      </c>
    </row>
    <row r="32" spans="1:52" s="3" customFormat="1" ht="15.95" customHeight="1">
      <c r="A32" s="6"/>
      <c r="B32" s="63"/>
      <c r="C32" s="62"/>
      <c r="D32" s="52"/>
      <c r="E32" s="52"/>
      <c r="F32" s="53"/>
      <c r="G32" s="53"/>
      <c r="H32" s="53"/>
      <c r="I32" s="53"/>
      <c r="J32" s="53"/>
      <c r="K32" s="55" t="s">
        <v>21</v>
      </c>
      <c r="L32" s="84"/>
      <c r="M32" s="62"/>
      <c r="N32" s="52"/>
      <c r="O32" s="52"/>
      <c r="P32" s="52"/>
      <c r="Q32" s="52"/>
      <c r="R32" s="52"/>
      <c r="S32" s="52"/>
      <c r="T32" s="52"/>
      <c r="U32" s="83"/>
      <c r="V32" s="84"/>
      <c r="W32" s="62"/>
      <c r="X32" s="52"/>
      <c r="Y32" s="52"/>
      <c r="Z32" s="52"/>
      <c r="AA32" s="52"/>
      <c r="AB32" s="52"/>
      <c r="AC32" s="52"/>
      <c r="AD32" s="52"/>
      <c r="AE32" s="83"/>
      <c r="AF32" s="84"/>
      <c r="AG32" s="62"/>
      <c r="AH32" s="52"/>
      <c r="AI32" s="52"/>
      <c r="AJ32" s="52"/>
      <c r="AK32" s="52"/>
      <c r="AL32" s="53"/>
      <c r="AM32" s="53"/>
      <c r="AN32" s="53"/>
      <c r="AO32" s="45"/>
      <c r="AP32" s="40"/>
      <c r="AQ32" s="16"/>
      <c r="AR32" s="12"/>
      <c r="AS32" s="6"/>
      <c r="AT32" s="6"/>
      <c r="AU32" s="6"/>
      <c r="AZ32" s="6">
        <v>14</v>
      </c>
    </row>
    <row r="33" spans="2:52" s="41" customFormat="1" ht="15.95" customHeight="1" thickBot="1">
      <c r="B33" s="64"/>
      <c r="C33" s="65" t="s">
        <v>35</v>
      </c>
      <c r="D33" s="110">
        <f>COUNTIF(D24:J24,"AC")+COUNTIF(D26:J26,"AC")+COUNTIF(D28:J28,"AC")+COUNTIF(D30:J30,"AC")+COUNTIF(D32:J32,"AC")</f>
        <v>0</v>
      </c>
      <c r="E33" s="111" t="s">
        <v>2</v>
      </c>
      <c r="F33" s="110">
        <f>COUNTIF(D24:J24,"T")+COUNTIF(D26:J26,"T")+COUNTIF(D28:J28,"T")+COUNTIF(D30:J30,"T")+COUNTIF(D32:J32,"T")</f>
        <v>0</v>
      </c>
      <c r="G33" s="111" t="s">
        <v>20</v>
      </c>
      <c r="H33" s="110">
        <f>COUNTIF(D24:J24,"MP")+COUNTIF(D26:J26,"MP")+COUNTIF(D28:J28,"MP")+COUNTIF(D30:J30,"MP")+COUNTIF(D32:J32,"MP")</f>
        <v>0</v>
      </c>
      <c r="I33" s="111" t="s">
        <v>22</v>
      </c>
      <c r="J33" s="110">
        <f>COUNTIF(D24:J24,"A")+COUNTIF(D26:J26,"A")+COUNTIF(D28:J28,"A")+COUNTIF(D30:J30,"A")+COUNTIF(D32:J32,"A")</f>
        <v>0</v>
      </c>
      <c r="K33" s="54">
        <f>SUM((F33*0.5)+(H33*0.5)+(J33))</f>
        <v>0</v>
      </c>
      <c r="L33" s="16"/>
      <c r="M33" s="60"/>
      <c r="N33" s="51" t="str">
        <f>IF(AND(YEAR(MaySun1+35)=$A$1,MONTH(MaySun1+35)=5),MaySun1+35,"")</f>
        <v/>
      </c>
      <c r="O33" s="51" t="str">
        <f>IF(AND(YEAR(MaySun1+36)=$A$1,MONTH(MaySun1+36)=5),MaySun1+36,"")</f>
        <v/>
      </c>
      <c r="P33" s="51" t="str">
        <f>IF(AND(YEAR(MaySun1+37)=$A$1,MONTH(MaySun1+37)=5),MaySun1+37,"")</f>
        <v/>
      </c>
      <c r="Q33" s="51" t="str">
        <f>IF(AND(YEAR(MaySun1+38)=$A$1,MONTH(MaySun1+38)=5),MaySun1+38,"")</f>
        <v/>
      </c>
      <c r="R33" s="51" t="str">
        <f>IF(AND(YEAR(MaySun1+39)=$A$1,MONTH(MaySun1+39)=5),MaySun1+39,"")</f>
        <v/>
      </c>
      <c r="S33" s="51" t="str">
        <f>IF(AND(YEAR(MaySun1+40)=$A$1,MONTH(MaySun1+40)=5),MaySun1+40,"")</f>
        <v/>
      </c>
      <c r="T33" s="51" t="str">
        <f>IF(AND(YEAR(MaySun1+41)=$A$1,MONTH(MaySun1+41)=5),MaySun1+41,"")</f>
        <v/>
      </c>
      <c r="U33" s="49"/>
      <c r="V33" s="16"/>
      <c r="W33" s="60"/>
      <c r="X33" s="51" t="str">
        <f>IF(AND(YEAR(AugSun1+35)=$A$1,MONTH(AugSun1+35)=8),AugSun1+35,"")</f>
        <v/>
      </c>
      <c r="Y33" s="51" t="str">
        <f>IF(AND(YEAR(AugSun1+36)=$A$1,MONTH(AugSun1+36)=8),AugSun1+36,"")</f>
        <v/>
      </c>
      <c r="Z33" s="51" t="str">
        <f>IF(AND(YEAR(AugSun1+37)=$A$1,MONTH(AugSun1+37)=8),AugSun1+37,"")</f>
        <v/>
      </c>
      <c r="AA33" s="51" t="str">
        <f>IF(AND(YEAR(AugSun1+38)=$A$1,MONTH(AugSun1+38)=8),AugSun1+38,"")</f>
        <v/>
      </c>
      <c r="AB33" s="51" t="str">
        <f>IF(AND(YEAR(AugSun1+39)=$A$1,MONTH(AugSun1+39)=8),AugSun1+39,"")</f>
        <v/>
      </c>
      <c r="AC33" s="51" t="str">
        <f>IF(AND(YEAR(AugSun1+40)=$A$1,MONTH(AugSun1+40)=8),AugSun1+40,"")</f>
        <v/>
      </c>
      <c r="AD33" s="51" t="str">
        <f>IF(AND(YEAR(AugSun1+41)=$A$1,MONTH(AugSun1+41)=8),AugSun1+41,"")</f>
        <v/>
      </c>
      <c r="AE33" s="49"/>
      <c r="AF33" s="16"/>
      <c r="AG33" s="60"/>
      <c r="AH33" s="51" t="str">
        <f>IF(AND(YEAR(NovSun1+35)=$A$1,MONTH(NovSun1+35)=11),NovSun1+35,"")</f>
        <v/>
      </c>
      <c r="AI33" s="51" t="str">
        <f>IF(AND(YEAR(NovSun1+36)=$A$1,MONTH(NovSun1+36)=11),NovSun1+36,"")</f>
        <v/>
      </c>
      <c r="AJ33" s="51" t="str">
        <f>IF(AND(YEAR(NovSun1+37)=$A$1,MONTH(NovSun1+37)=11),NovSun1+37,"")</f>
        <v/>
      </c>
      <c r="AK33" s="51" t="str">
        <f>IF(AND(YEAR(NovSun1+38)=$A$1,MONTH(NovSun1+38)=11),NovSun1+38,"")</f>
        <v/>
      </c>
      <c r="AL33" s="51" t="str">
        <f>IF(AND(YEAR(NovSun1+39)=$A$1,MONTH(NovSun1+39)=11),NovSun1+39,"")</f>
        <v/>
      </c>
      <c r="AM33" s="51" t="str">
        <f>IF(AND(YEAR(NovSun1+40)=$A$1,MONTH(NovSun1+40)=11),NovSun1+40,"")</f>
        <v/>
      </c>
      <c r="AN33" s="51" t="str">
        <f>IF(AND(YEAR(NovSun1+41)=$A$1,MONTH(NovSun1+41)=11),NovSun1+41,"")</f>
        <v/>
      </c>
      <c r="AO33" s="44"/>
      <c r="AP33" s="6"/>
      <c r="AQ33" s="40"/>
      <c r="AZ33" s="41">
        <v>14.5</v>
      </c>
    </row>
    <row r="34" spans="1:52" s="3" customFormat="1" ht="15.95" customHeight="1" thickTop="1">
      <c r="A34" s="6"/>
      <c r="B34" s="68"/>
      <c r="C34" s="69"/>
      <c r="D34" s="113"/>
      <c r="E34" s="113"/>
      <c r="F34" s="113"/>
      <c r="G34" s="113"/>
      <c r="H34" s="113"/>
      <c r="I34" s="113"/>
      <c r="J34" s="113"/>
      <c r="K34" s="40"/>
      <c r="L34" s="16"/>
      <c r="M34" s="62"/>
      <c r="N34" s="52"/>
      <c r="O34" s="53"/>
      <c r="P34" s="53"/>
      <c r="Q34" s="53"/>
      <c r="R34" s="53"/>
      <c r="S34" s="53"/>
      <c r="T34" s="53"/>
      <c r="U34" s="55" t="s">
        <v>21</v>
      </c>
      <c r="V34" s="16"/>
      <c r="W34" s="62"/>
      <c r="X34" s="52"/>
      <c r="Y34" s="52"/>
      <c r="Z34" s="53"/>
      <c r="AA34" s="53"/>
      <c r="AB34" s="53"/>
      <c r="AC34" s="53"/>
      <c r="AD34" s="53"/>
      <c r="AE34" s="55" t="s">
        <v>21</v>
      </c>
      <c r="AF34" s="16"/>
      <c r="AG34" s="62"/>
      <c r="AH34" s="53"/>
      <c r="AI34" s="53"/>
      <c r="AJ34" s="53"/>
      <c r="AK34" s="53"/>
      <c r="AL34" s="53"/>
      <c r="AM34" s="53"/>
      <c r="AN34" s="53"/>
      <c r="AO34" s="55" t="s">
        <v>21</v>
      </c>
      <c r="AQ34" s="6"/>
      <c r="AZ34" s="18">
        <v>15</v>
      </c>
    </row>
    <row r="35" spans="1:47" s="6" customFormat="1" ht="15.95" customHeight="1" thickBot="1">
      <c r="A35" s="3"/>
      <c r="B35" s="64"/>
      <c r="C35" s="70"/>
      <c r="D35" s="70"/>
      <c r="E35" s="70"/>
      <c r="F35" s="70"/>
      <c r="G35" s="70"/>
      <c r="H35" s="70"/>
      <c r="I35" s="70"/>
      <c r="J35" s="70"/>
      <c r="K35" s="40"/>
      <c r="L35" s="85"/>
      <c r="M35" s="65" t="s">
        <v>35</v>
      </c>
      <c r="N35" s="114">
        <f>COUNTIF(N24:T24,"AC")+COUNTIF(N26:T26,"AC")+COUNTIF(N28:T28,"AC")+COUNTIF(N30:T30,"AC")+COUNTIF(N32:T32,"AC")+COUNTIF(N34:T34,"AC")</f>
        <v>0</v>
      </c>
      <c r="O35" s="115" t="s">
        <v>2</v>
      </c>
      <c r="P35" s="114">
        <f>COUNTIF(N24:T24,"T")+COUNTIF(N26:T26,"T")+COUNTIF(N28:T28,"T")+COUNTIF(N30:T30,"T")+COUNTIF(N32:T32,"T")+COUNTIF(N34:T34,"T")</f>
        <v>0</v>
      </c>
      <c r="Q35" s="115" t="s">
        <v>20</v>
      </c>
      <c r="R35" s="114">
        <f>COUNTIF(N24:T24,"MP")+COUNTIF(N26:T26,"MP")+COUNTIF(N28:T28,"MP")+COUNTIF(N30:T30,"MP")+COUNTIF(N32:T32,"MP")+COUNTIF(N34:T34,"MP")</f>
        <v>0</v>
      </c>
      <c r="S35" s="115" t="s">
        <v>22</v>
      </c>
      <c r="T35" s="114">
        <f>COUNTIF(N24:T24,"A")+COUNTIF(N26:T26,"A")+COUNTIF(N28:T28,"A")+COUNTIF(N30:T30,"A")+COUNTIF(N32:T32,"A")+COUNTIF(N34:T34,"A")</f>
        <v>0</v>
      </c>
      <c r="U35" s="54">
        <f>SUM((P35*0.5)+(R35*0.5)+(T35))</f>
        <v>0</v>
      </c>
      <c r="V35" s="85"/>
      <c r="W35" s="65" t="s">
        <v>35</v>
      </c>
      <c r="X35" s="114">
        <f>COUNTIF(X24:AD24,"AC")+COUNTIF(X26:AD26,"AC")+COUNTIF(X28:AD28,"AC")+COUNTIF(X30:AD30,"AC")+COUNTIF(X32:AD32,"AC")+COUNTIF(X34:AD34,"AC")</f>
        <v>0</v>
      </c>
      <c r="Y35" s="115" t="s">
        <v>2</v>
      </c>
      <c r="Z35" s="114">
        <f>COUNTIF(X24:AD24,"T")+COUNTIF(X26:AD26,"T")+COUNTIF(X28:AD28,"T")+COUNTIF(X30:AD30,"T")+COUNTIF(X32:AD32,"T")+COUNTIF(X34:AD34,"T")</f>
        <v>0</v>
      </c>
      <c r="AA35" s="115" t="s">
        <v>20</v>
      </c>
      <c r="AB35" s="114">
        <f>COUNTIF(X24:AD24,"MP")+COUNTIF(X26:AD26,"MP")+COUNTIF(X28:AD28,"MP")+COUNTIF(X30:AD30,"MP")+COUNTIF(X32:AD32,"MP")+COUNTIF(X34:AD34,"MP")</f>
        <v>0</v>
      </c>
      <c r="AC35" s="115" t="s">
        <v>22</v>
      </c>
      <c r="AD35" s="114">
        <f>COUNTIF(X24:AD24,"A")+COUNTIF(X26:AD26,"A")+COUNTIF(X28:AD28,"A")+COUNTIF(X30:AD30,"A")+COUNTIF(X32:AD32,"A")+COUNTIF(X34:AD34,"A")</f>
        <v>0</v>
      </c>
      <c r="AE35" s="54">
        <f>SUM((Z35*0.5)+(AB35*0.5)+(AD35))</f>
        <v>0</v>
      </c>
      <c r="AF35" s="85"/>
      <c r="AG35" s="65" t="s">
        <v>35</v>
      </c>
      <c r="AH35" s="114">
        <f>COUNTIF(AH24:AN24,"AC")+COUNTIF(AH26:AN26,"AC")+COUNTIF(AH28:AN28,"AC")+COUNTIF(AH30:AN30,"AC")+COUNTIF(AH32:AN32,"AC")+COUNTIF(AH34:AN34,"AC")</f>
        <v>0</v>
      </c>
      <c r="AI35" s="115" t="s">
        <v>2</v>
      </c>
      <c r="AJ35" s="114">
        <f>COUNTIF(AH24:AN24,"T")+COUNTIF(AH26:AN26,"T")+COUNTIF(AH28:AN28,"T")+COUNTIF(AH30:AN30,"T")+COUNTIF(AH32:AN32,"T")+COUNTIF(AH34:AN34,"T")</f>
        <v>0</v>
      </c>
      <c r="AK35" s="115" t="s">
        <v>20</v>
      </c>
      <c r="AL35" s="114">
        <f>COUNTIF(AH24:AN24,"MP")+COUNTIF(AH26:AN26,"MP")+COUNTIF(AH28:AN28,"MP")+COUNTIF(AH30:AN30,"MP")+COUNTIF(AH32:AN32,"MP")+COUNTIF(AH34:AN34,"MP")</f>
        <v>0</v>
      </c>
      <c r="AM35" s="115" t="s">
        <v>22</v>
      </c>
      <c r="AN35" s="114">
        <f>COUNTIF(AH24:AN24,"A")+COUNTIF(AH26:AN26,"A")+COUNTIF(AH28:AN28,"A")+COUNTIF(AH30:AN30,"A")+COUNTIF(AH32:AN32,"A")+COUNTIF(AH34:AN34,"A")</f>
        <v>0</v>
      </c>
      <c r="AO35" s="54">
        <f>SUM((AJ35*0.5)+(AL35*0.5)+(AN35))</f>
        <v>0</v>
      </c>
      <c r="AP35" s="3"/>
      <c r="AQ35" s="3"/>
      <c r="AR35" s="3"/>
      <c r="AS35" s="3"/>
      <c r="AT35" s="3"/>
      <c r="AU35" s="3"/>
    </row>
    <row r="36" spans="2:47" s="3" customFormat="1" ht="15.95" customHeight="1" thickBot="1" thickTop="1">
      <c r="B36" s="63"/>
      <c r="C36" s="70"/>
      <c r="D36" s="70"/>
      <c r="E36" s="70"/>
      <c r="F36" s="70"/>
      <c r="G36" s="70"/>
      <c r="H36" s="70"/>
      <c r="I36" s="70"/>
      <c r="J36" s="70"/>
      <c r="K36" s="40"/>
      <c r="L36" s="85"/>
      <c r="M36" s="66"/>
      <c r="N36" s="66"/>
      <c r="O36" s="66"/>
      <c r="P36" s="66"/>
      <c r="Q36" s="66"/>
      <c r="R36" s="66"/>
      <c r="S36" s="66"/>
      <c r="T36" s="66"/>
      <c r="U36" s="40"/>
      <c r="V36" s="85"/>
      <c r="W36" s="66"/>
      <c r="X36" s="66"/>
      <c r="Y36" s="66"/>
      <c r="Z36" s="66"/>
      <c r="AA36" s="66"/>
      <c r="AB36" s="66"/>
      <c r="AC36" s="66"/>
      <c r="AD36" s="66"/>
      <c r="AE36" s="40"/>
      <c r="AF36" s="85"/>
      <c r="AG36" s="66"/>
      <c r="AH36" s="66"/>
      <c r="AI36" s="66"/>
      <c r="AJ36" s="66"/>
      <c r="AK36" s="66"/>
      <c r="AL36" s="66"/>
      <c r="AM36" s="66"/>
      <c r="AN36" s="66"/>
      <c r="AO36" s="39"/>
      <c r="AR36" s="6"/>
      <c r="AS36" s="6"/>
      <c r="AT36" s="6"/>
      <c r="AU36" s="6"/>
    </row>
    <row r="37" spans="2:47" s="6" customFormat="1" ht="15.95" customHeight="1" thickTop="1">
      <c r="B37" s="64"/>
      <c r="C37" s="71"/>
      <c r="D37" s="116"/>
      <c r="E37" s="116"/>
      <c r="F37" s="116"/>
      <c r="G37" s="116"/>
      <c r="H37" s="116"/>
      <c r="I37" s="116"/>
      <c r="J37" s="116"/>
      <c r="K37" s="88"/>
      <c r="L37" s="85"/>
      <c r="M37" s="67"/>
      <c r="N37" s="117"/>
      <c r="O37" s="117"/>
      <c r="P37" s="117"/>
      <c r="Q37" s="117"/>
      <c r="R37" s="117"/>
      <c r="S37" s="117"/>
      <c r="T37" s="117"/>
      <c r="U37" s="88"/>
      <c r="V37" s="85"/>
      <c r="W37" s="67"/>
      <c r="X37" s="117"/>
      <c r="Y37" s="117"/>
      <c r="Z37" s="117"/>
      <c r="AA37" s="117"/>
      <c r="AB37" s="117"/>
      <c r="AC37" s="117"/>
      <c r="AD37" s="117"/>
      <c r="AE37" s="88"/>
      <c r="AF37" s="85"/>
      <c r="AG37" s="67"/>
      <c r="AH37" s="117"/>
      <c r="AI37" s="117"/>
      <c r="AJ37" s="117"/>
      <c r="AK37" s="117"/>
      <c r="AL37" s="117"/>
      <c r="AM37" s="117"/>
      <c r="AN37" s="117"/>
      <c r="AO37" s="47"/>
      <c r="AR37" s="3"/>
      <c r="AS37" s="3"/>
      <c r="AT37" s="3"/>
      <c r="AU37" s="3"/>
    </row>
    <row r="38" spans="2:47" s="3" customFormat="1" ht="15.95" customHeight="1">
      <c r="B38" s="63"/>
      <c r="C38" s="62"/>
      <c r="D38" s="133" t="s">
        <v>7</v>
      </c>
      <c r="E38" s="134"/>
      <c r="F38" s="134"/>
      <c r="G38" s="134"/>
      <c r="H38" s="134"/>
      <c r="I38" s="134"/>
      <c r="J38" s="135"/>
      <c r="K38" s="86"/>
      <c r="L38" s="87"/>
      <c r="M38" s="62"/>
      <c r="N38" s="133" t="s">
        <v>10</v>
      </c>
      <c r="O38" s="134"/>
      <c r="P38" s="134"/>
      <c r="Q38" s="134"/>
      <c r="R38" s="134"/>
      <c r="S38" s="134"/>
      <c r="T38" s="135"/>
      <c r="U38" s="86"/>
      <c r="V38" s="87"/>
      <c r="W38" s="62"/>
      <c r="X38" s="133" t="s">
        <v>12</v>
      </c>
      <c r="Y38" s="134"/>
      <c r="Z38" s="134"/>
      <c r="AA38" s="134"/>
      <c r="AB38" s="134"/>
      <c r="AC38" s="134"/>
      <c r="AD38" s="135"/>
      <c r="AE38" s="91"/>
      <c r="AF38" s="87"/>
      <c r="AG38" s="62"/>
      <c r="AH38" s="133" t="s">
        <v>16</v>
      </c>
      <c r="AI38" s="134"/>
      <c r="AJ38" s="134"/>
      <c r="AK38" s="134"/>
      <c r="AL38" s="134"/>
      <c r="AM38" s="134"/>
      <c r="AN38" s="135"/>
      <c r="AO38" s="45"/>
      <c r="AR38" s="6"/>
      <c r="AS38" s="6"/>
      <c r="AT38" s="6"/>
      <c r="AU38" s="6"/>
    </row>
    <row r="39" spans="2:47" s="6" customFormat="1" ht="15.95" customHeight="1">
      <c r="B39" s="64"/>
      <c r="C39" s="60"/>
      <c r="D39" s="107" t="s">
        <v>0</v>
      </c>
      <c r="E39" s="107" t="s">
        <v>1</v>
      </c>
      <c r="F39" s="107" t="s">
        <v>2</v>
      </c>
      <c r="G39" s="107" t="s">
        <v>3</v>
      </c>
      <c r="H39" s="107" t="s">
        <v>2</v>
      </c>
      <c r="I39" s="107" t="s">
        <v>4</v>
      </c>
      <c r="J39" s="107" t="s">
        <v>0</v>
      </c>
      <c r="K39" s="81"/>
      <c r="L39" s="82"/>
      <c r="M39" s="60"/>
      <c r="N39" s="107" t="s">
        <v>0</v>
      </c>
      <c r="O39" s="107" t="s">
        <v>1</v>
      </c>
      <c r="P39" s="107" t="s">
        <v>2</v>
      </c>
      <c r="Q39" s="107" t="s">
        <v>3</v>
      </c>
      <c r="R39" s="107" t="s">
        <v>2</v>
      </c>
      <c r="S39" s="107" t="s">
        <v>4</v>
      </c>
      <c r="T39" s="107" t="s">
        <v>0</v>
      </c>
      <c r="U39" s="81"/>
      <c r="V39" s="82"/>
      <c r="W39" s="60"/>
      <c r="X39" s="107" t="s">
        <v>0</v>
      </c>
      <c r="Y39" s="107" t="s">
        <v>1</v>
      </c>
      <c r="Z39" s="107" t="s">
        <v>2</v>
      </c>
      <c r="AA39" s="107" t="s">
        <v>3</v>
      </c>
      <c r="AB39" s="107" t="s">
        <v>2</v>
      </c>
      <c r="AC39" s="107" t="s">
        <v>4</v>
      </c>
      <c r="AD39" s="107" t="s">
        <v>0</v>
      </c>
      <c r="AE39" s="81"/>
      <c r="AF39" s="82"/>
      <c r="AG39" s="60"/>
      <c r="AH39" s="107" t="s">
        <v>0</v>
      </c>
      <c r="AI39" s="107" t="s">
        <v>1</v>
      </c>
      <c r="AJ39" s="107" t="s">
        <v>2</v>
      </c>
      <c r="AK39" s="107" t="s">
        <v>3</v>
      </c>
      <c r="AL39" s="107" t="s">
        <v>2</v>
      </c>
      <c r="AM39" s="107" t="s">
        <v>4</v>
      </c>
      <c r="AN39" s="107" t="s">
        <v>0</v>
      </c>
      <c r="AO39" s="44"/>
      <c r="AR39" s="3"/>
      <c r="AS39" s="3"/>
      <c r="AT39" s="3"/>
      <c r="AU39" s="3"/>
    </row>
    <row r="40" spans="2:47" s="3" customFormat="1" ht="15.95" customHeight="1">
      <c r="B40" s="63"/>
      <c r="C40" s="60"/>
      <c r="D40" s="51" t="str">
        <f>IF(AND(YEAR(MarSun1)=$A$1,MONTH(MarSun1)=3),MarSun1,"")</f>
        <v/>
      </c>
      <c r="E40" s="51" t="str">
        <f>IF(AND(YEAR(MarSun1+1)=$A$1,MONTH(MarSun1+1)=3),MarSun1+1,"")</f>
        <v/>
      </c>
      <c r="F40" s="51">
        <f>IF(AND(YEAR(MarSun1+2)=$A$1,MONTH(MarSun1+2)=3),MarSun1+2,"")</f>
        <v>42430</v>
      </c>
      <c r="G40" s="51">
        <f>IF(AND(YEAR(MarSun1+3)=$A$1,MONTH(MarSun1+3)=3),MarSun1+3,"")</f>
        <v>42431</v>
      </c>
      <c r="H40" s="51">
        <f>IF(AND(YEAR(MarSun1+4)=$A$1,MONTH(MarSun1+4)=3),MarSun1+4,"")</f>
        <v>42432</v>
      </c>
      <c r="I40" s="51">
        <f>IF(AND(YEAR(MarSun1+5)=$A$1,MONTH(MarSun1+5)=3),MarSun1+5,"")</f>
        <v>42433</v>
      </c>
      <c r="J40" s="51">
        <f>IF(AND(YEAR(MarSun1+6)=$A$1,MONTH(MarSun1+6)=3),MarSun1+6,"")</f>
        <v>42434</v>
      </c>
      <c r="K40" s="49"/>
      <c r="L40" s="16"/>
      <c r="M40" s="60"/>
      <c r="N40" s="51" t="str">
        <f>IF(AND(YEAR(JunSun1)=$A$1,MONTH(JunSun1)=6),JunSun1,"")</f>
        <v/>
      </c>
      <c r="O40" s="51" t="str">
        <f>IF(AND(YEAR(JunSun1+1)=$A$1,MONTH(JunSun1+1)=6),JunSun1+1,"")</f>
        <v/>
      </c>
      <c r="P40" s="51" t="str">
        <f>IF(AND(YEAR(JunSun1+2)=$A$1,MONTH(JunSun1+2)=6),JunSun1+2,"")</f>
        <v/>
      </c>
      <c r="Q40" s="51">
        <f>IF(AND(YEAR(JunSun1+3)=$A$1,MONTH(JunSun1+3)=6),JunSun1+3,"")</f>
        <v>42522</v>
      </c>
      <c r="R40" s="51">
        <f>IF(AND(YEAR(JunSun1+4)=$A$1,MONTH(JunSun1+4)=6),JunSun1+4,"")</f>
        <v>42523</v>
      </c>
      <c r="S40" s="51">
        <f>IF(AND(YEAR(JunSun1+5)=$A$1,MONTH(JunSun1+5)=6),JunSun1+5,"")</f>
        <v>42524</v>
      </c>
      <c r="T40" s="51">
        <f>IF(AND(YEAR(JunSun1+6)=$A$1,MONTH(JunSun1+6)=6),JunSun1+6,"")</f>
        <v>42525</v>
      </c>
      <c r="U40" s="49"/>
      <c r="V40" s="16"/>
      <c r="W40" s="60"/>
      <c r="X40" s="51" t="str">
        <f>IF(AND(YEAR(SepSun1)=$A$1,MONTH(SepSun1)=9),SepSun1,"")</f>
        <v/>
      </c>
      <c r="Y40" s="51" t="str">
        <f>IF(AND(YEAR(SepSun1+1)=$A$1,MONTH(SepSun1+1)=9),SepSun1+1,"")</f>
        <v/>
      </c>
      <c r="Z40" s="51" t="str">
        <f>IF(AND(YEAR(SepSun1+2)=$A$1,MONTH(SepSun1+2)=9),SepSun1+2,"")</f>
        <v/>
      </c>
      <c r="AA40" s="51" t="str">
        <f>IF(AND(YEAR(SepSun1+3)=$A$1,MONTH(SepSun1+3)=9),SepSun1+3,"")</f>
        <v/>
      </c>
      <c r="AB40" s="51">
        <f>IF(AND(YEAR(SepSun1+4)=$A$1,MONTH(SepSun1+4)=9),SepSun1+4,"")</f>
        <v>42614</v>
      </c>
      <c r="AC40" s="51">
        <f>IF(AND(YEAR(SepSun1+5)=$A$1,MONTH(SepSun1+5)=9),SepSun1+5,"")</f>
        <v>42615</v>
      </c>
      <c r="AD40" s="51">
        <f>IF(AND(YEAR(SepSun1+6)=$A$1,MONTH(SepSun1+6)=9),SepSun1+6,"")</f>
        <v>42616</v>
      </c>
      <c r="AE40" s="49"/>
      <c r="AF40" s="16"/>
      <c r="AG40" s="60"/>
      <c r="AH40" s="51" t="str">
        <f>IF(AND(YEAR(DecSun1)=$A$1,MONTH(DecSun1)=12),DecSun1,"")</f>
        <v/>
      </c>
      <c r="AI40" s="51" t="str">
        <f>IF(AND(YEAR(DecSun1+1)=$A$1,MONTH(DecSun1+1)=12),DecSun1+1,"")</f>
        <v/>
      </c>
      <c r="AJ40" s="51" t="str">
        <f>IF(AND(YEAR(DecSun1+2)=$A$1,MONTH(DecSun1+2)=12),DecSun1+2,"")</f>
        <v/>
      </c>
      <c r="AK40" s="51" t="str">
        <f>IF(AND(YEAR(DecSun1+3)=$A$1,MONTH(DecSun1+3)=12),DecSun1+3,"")</f>
        <v/>
      </c>
      <c r="AL40" s="51">
        <f>IF(AND(YEAR(DecSun1+4)=$A$1,MONTH(DecSun1+4)=12),DecSun1+4,"")</f>
        <v>42705</v>
      </c>
      <c r="AM40" s="51">
        <f>IF(AND(YEAR(DecSun1+5)=$A$1,MONTH(DecSun1+5)=12),DecSun1+5,"")</f>
        <v>42706</v>
      </c>
      <c r="AN40" s="51">
        <f>IF(AND(YEAR(DecSun1+6)=$A$1,MONTH(DecSun1+6)=12),DecSun1+6,"")</f>
        <v>42707</v>
      </c>
      <c r="AO40" s="44"/>
      <c r="AR40" s="6"/>
      <c r="AS40" s="6"/>
      <c r="AT40" s="6"/>
      <c r="AU40" s="6"/>
    </row>
    <row r="41" spans="2:47" s="6" customFormat="1" ht="15.95" customHeight="1">
      <c r="B41" s="64"/>
      <c r="C41" s="62"/>
      <c r="D41" s="52"/>
      <c r="E41" s="52"/>
      <c r="F41" s="52"/>
      <c r="G41" s="52"/>
      <c r="H41" s="52"/>
      <c r="I41" s="52"/>
      <c r="J41" s="52"/>
      <c r="K41" s="83"/>
      <c r="L41" s="84"/>
      <c r="M41" s="62"/>
      <c r="N41" s="53"/>
      <c r="O41" s="52"/>
      <c r="P41" s="52"/>
      <c r="Q41" s="52"/>
      <c r="R41" s="52"/>
      <c r="S41" s="52"/>
      <c r="T41" s="52"/>
      <c r="U41" s="83"/>
      <c r="V41" s="84"/>
      <c r="W41" s="62"/>
      <c r="X41" s="53"/>
      <c r="Y41" s="53"/>
      <c r="Z41" s="52"/>
      <c r="AA41" s="52"/>
      <c r="AB41" s="52"/>
      <c r="AC41" s="52"/>
      <c r="AD41" s="52"/>
      <c r="AE41" s="83"/>
      <c r="AF41" s="84"/>
      <c r="AG41" s="62"/>
      <c r="AH41" s="53"/>
      <c r="AI41" s="53"/>
      <c r="AJ41" s="52"/>
      <c r="AK41" s="52"/>
      <c r="AL41" s="52"/>
      <c r="AM41" s="52"/>
      <c r="AN41" s="52"/>
      <c r="AO41" s="45"/>
      <c r="AR41" s="3"/>
      <c r="AS41" s="3"/>
      <c r="AT41" s="3"/>
      <c r="AU41" s="3"/>
    </row>
    <row r="42" spans="2:47" s="3" customFormat="1" ht="15.95" customHeight="1">
      <c r="B42" s="63"/>
      <c r="C42" s="60"/>
      <c r="D42" s="51">
        <f>IF(AND(YEAR(MarSun1+7)=$A$1,MONTH(MarSun1+7)=3),MarSun1+7,"")</f>
        <v>42435</v>
      </c>
      <c r="E42" s="51">
        <f>IF(AND(YEAR(MarSun1+8)=$A$1,MONTH(MarSun1+8)=3),MarSun1+8,"")</f>
        <v>42436</v>
      </c>
      <c r="F42" s="51">
        <f>IF(AND(YEAR(MarSun1+9)=$A$1,MONTH(MarSun1+9)=3),MarSun1+9,"")</f>
        <v>42437</v>
      </c>
      <c r="G42" s="51">
        <f>IF(AND(YEAR(MarSun1+10)=$A$1,MONTH(MarSun1+10)=3),MarSun1+10,"")</f>
        <v>42438</v>
      </c>
      <c r="H42" s="51">
        <f>IF(AND(YEAR(MarSun1+11)=$A$1,MONTH(MarSun1+11)=3),MarSun1+11,"")</f>
        <v>42439</v>
      </c>
      <c r="I42" s="51">
        <f>IF(AND(YEAR(MarSun1+12)=$A$1,MONTH(MarSun1+12)=3),MarSun1+12,"")</f>
        <v>42440</v>
      </c>
      <c r="J42" s="51">
        <f>IF(AND(YEAR(MarSun1+13)=$A$1,MONTH(MarSun1+13)=3),MarSun1+13,"")</f>
        <v>42441</v>
      </c>
      <c r="K42" s="49"/>
      <c r="L42" s="16"/>
      <c r="M42" s="60"/>
      <c r="N42" s="51">
        <f>IF(AND(YEAR(JunSun1+7)=$A$1,MONTH(JunSun1+7)=6),JunSun1+7,"")</f>
        <v>42526</v>
      </c>
      <c r="O42" s="51">
        <f>IF(AND(YEAR(JunSun1+8)=$A$1,MONTH(JunSun1+8)=6),JunSun1+8,"")</f>
        <v>42527</v>
      </c>
      <c r="P42" s="51">
        <f>IF(AND(YEAR(JunSun1+9)=$A$1,MONTH(JunSun1+9)=6),JunSun1+9,"")</f>
        <v>42528</v>
      </c>
      <c r="Q42" s="51">
        <f>IF(AND(YEAR(JunSun1+10)=$A$1,MONTH(JunSun1+10)=6),JunSun1+10,"")</f>
        <v>42529</v>
      </c>
      <c r="R42" s="51">
        <f>IF(AND(YEAR(JunSun1+11)=$A$1,MONTH(JunSun1+11)=6),JunSun1+11,"")</f>
        <v>42530</v>
      </c>
      <c r="S42" s="51">
        <f>IF(AND(YEAR(JunSun1+12)=$A$1,MONTH(JunSun1+12)=6),JunSun1+12,"")</f>
        <v>42531</v>
      </c>
      <c r="T42" s="51">
        <f>IF(AND(YEAR(JunSun1+13)=$A$1,MONTH(JunSun1+13)=6),JunSun1+13,"")</f>
        <v>42532</v>
      </c>
      <c r="U42" s="49"/>
      <c r="V42" s="16"/>
      <c r="W42" s="60"/>
      <c r="X42" s="51">
        <f>IF(AND(YEAR(SepSun1+7)=$A$1,MONTH(SepSun1+7)=9),SepSun1+7,"")</f>
        <v>42617</v>
      </c>
      <c r="Y42" s="51">
        <f>IF(AND(YEAR(SepSun1+8)=$A$1,MONTH(SepSun1+8)=9),SepSun1+8,"")</f>
        <v>42618</v>
      </c>
      <c r="Z42" s="51">
        <f>IF(AND(YEAR(SepSun1+9)=$A$1,MONTH(SepSun1+9)=9),SepSun1+9,"")</f>
        <v>42619</v>
      </c>
      <c r="AA42" s="51">
        <f>IF(AND(YEAR(SepSun1+10)=$A$1,MONTH(SepSun1+10)=9),SepSun1+10,"")</f>
        <v>42620</v>
      </c>
      <c r="AB42" s="51">
        <f>IF(AND(YEAR(SepSun1+11)=$A$1,MONTH(SepSun1+11)=9),SepSun1+11,"")</f>
        <v>42621</v>
      </c>
      <c r="AC42" s="51">
        <f>IF(AND(YEAR(SepSun1+12)=$A$1,MONTH(SepSun1+12)=9),SepSun1+12,"")</f>
        <v>42622</v>
      </c>
      <c r="AD42" s="51">
        <f>IF(AND(YEAR(SepSun1+13)=$A$1,MONTH(SepSun1+13)=9),SepSun1+13,"")</f>
        <v>42623</v>
      </c>
      <c r="AE42" s="49"/>
      <c r="AF42" s="16"/>
      <c r="AG42" s="60"/>
      <c r="AH42" s="51">
        <f>IF(AND(YEAR(DecSun1+7)=$A$1,MONTH(DecSun1+7)=12),DecSun1+7,"")</f>
        <v>42708</v>
      </c>
      <c r="AI42" s="51">
        <f>IF(AND(YEAR(DecSun1+8)=$A$1,MONTH(DecSun1+8)=12),DecSun1+8,"")</f>
        <v>42709</v>
      </c>
      <c r="AJ42" s="51">
        <f>IF(AND(YEAR(DecSun1+9)=$A$1,MONTH(DecSun1+9)=12),DecSun1+9,"")</f>
        <v>42710</v>
      </c>
      <c r="AK42" s="51">
        <f>IF(AND(YEAR(DecSun1+10)=$A$1,MONTH(DecSun1+10)=12),DecSun1+10,"")</f>
        <v>42711</v>
      </c>
      <c r="AL42" s="51">
        <f>IF(AND(YEAR(DecSun1+11)=$A$1,MONTH(DecSun1+11)=12),DecSun1+11,"")</f>
        <v>42712</v>
      </c>
      <c r="AM42" s="51">
        <f>IF(AND(YEAR(DecSun1+12)=$A$1,MONTH(DecSun1+12)=12),DecSun1+12,"")</f>
        <v>42713</v>
      </c>
      <c r="AN42" s="51">
        <f>IF(AND(YEAR(DecSun1+13)=$A$1,MONTH(DecSun1+13)=12),DecSun1+13,"")</f>
        <v>42714</v>
      </c>
      <c r="AO42" s="44"/>
      <c r="AR42" s="6"/>
      <c r="AS42" s="6"/>
      <c r="AT42" s="6"/>
      <c r="AU42" s="6"/>
    </row>
    <row r="43" spans="2:47" s="6" customFormat="1" ht="15.95" customHeight="1">
      <c r="B43" s="64"/>
      <c r="C43" s="62"/>
      <c r="D43" s="52"/>
      <c r="E43" s="52"/>
      <c r="F43" s="52"/>
      <c r="G43" s="52"/>
      <c r="H43" s="52"/>
      <c r="I43" s="52"/>
      <c r="J43" s="52"/>
      <c r="K43" s="83"/>
      <c r="L43" s="84"/>
      <c r="M43" s="62"/>
      <c r="N43" s="52"/>
      <c r="O43" s="52"/>
      <c r="P43" s="52"/>
      <c r="Q43" s="52"/>
      <c r="R43" s="52"/>
      <c r="S43" s="52"/>
      <c r="T43" s="52"/>
      <c r="U43" s="83"/>
      <c r="V43" s="84"/>
      <c r="W43" s="62"/>
      <c r="X43" s="52"/>
      <c r="Y43" s="52"/>
      <c r="Z43" s="52"/>
      <c r="AA43" s="52"/>
      <c r="AB43" s="52"/>
      <c r="AC43" s="52"/>
      <c r="AD43" s="52"/>
      <c r="AE43" s="83"/>
      <c r="AF43" s="84"/>
      <c r="AG43" s="62"/>
      <c r="AH43" s="52"/>
      <c r="AI43" s="52"/>
      <c r="AJ43" s="52"/>
      <c r="AK43" s="52"/>
      <c r="AL43" s="52"/>
      <c r="AM43" s="52"/>
      <c r="AN43" s="52"/>
      <c r="AO43" s="45"/>
      <c r="AR43" s="3"/>
      <c r="AS43" s="3"/>
      <c r="AT43" s="3"/>
      <c r="AU43" s="3"/>
    </row>
    <row r="44" spans="1:47" ht="15.95" customHeight="1">
      <c r="A44" s="3"/>
      <c r="B44" s="63"/>
      <c r="C44" s="60"/>
      <c r="D44" s="51">
        <f>IF(AND(YEAR(MarSun1+14)=$A$1,MONTH(MarSun1+14)=3),MarSun1+14,"")</f>
        <v>42442</v>
      </c>
      <c r="E44" s="51">
        <f>IF(AND(YEAR(MarSun1+15)=$A$1,MONTH(MarSun1+15)=3),MarSun1+15,"")</f>
        <v>42443</v>
      </c>
      <c r="F44" s="51">
        <f>IF(AND(YEAR(MarSun1+16)=$A$1,MONTH(MarSun1+16)=3),MarSun1+16,"")</f>
        <v>42444</v>
      </c>
      <c r="G44" s="51">
        <f>IF(AND(YEAR(MarSun1+17)=$A$1,MONTH(MarSun1+17)=3),MarSun1+17,"")</f>
        <v>42445</v>
      </c>
      <c r="H44" s="51">
        <f>IF(AND(YEAR(MarSun1+18)=$A$1,MONTH(MarSun1+18)=3),MarSun1+18,"")</f>
        <v>42446</v>
      </c>
      <c r="I44" s="51">
        <f>IF(AND(YEAR(MarSun1+19)=$A$1,MONTH(MarSun1+19)=3),MarSun1+19,"")</f>
        <v>42447</v>
      </c>
      <c r="J44" s="51">
        <f>IF(AND(YEAR(MarSun1+20)=$A$1,MONTH(MarSun1+20)=3),MarSun1+20,"")</f>
        <v>42448</v>
      </c>
      <c r="K44" s="49"/>
      <c r="L44" s="16"/>
      <c r="M44" s="60"/>
      <c r="N44" s="51">
        <f>IF(AND(YEAR(JunSun1+14)=$A$1,MONTH(JunSun1+14)=6),JunSun1+14,"")</f>
        <v>42533</v>
      </c>
      <c r="O44" s="51">
        <f>IF(AND(YEAR(JunSun1+15)=$A$1,MONTH(JunSun1+15)=6),JunSun1+15,"")</f>
        <v>42534</v>
      </c>
      <c r="P44" s="51">
        <f>IF(AND(YEAR(JunSun1+16)=$A$1,MONTH(JunSun1+16)=6),JunSun1+16,"")</f>
        <v>42535</v>
      </c>
      <c r="Q44" s="51">
        <f>IF(AND(YEAR(JunSun1+17)=$A$1,MONTH(JunSun1+17)=6),JunSun1+17,"")</f>
        <v>42536</v>
      </c>
      <c r="R44" s="51">
        <f>IF(AND(YEAR(JunSun1+18)=$A$1,MONTH(JunSun1+18)=6),JunSun1+18,"")</f>
        <v>42537</v>
      </c>
      <c r="S44" s="51">
        <f>IF(AND(YEAR(JunSun1+19)=$A$1,MONTH(JunSun1+19)=6),JunSun1+19,"")</f>
        <v>42538</v>
      </c>
      <c r="T44" s="51">
        <f>IF(AND(YEAR(JunSun1+20)=$A$1,MONTH(JunSun1+20)=6),JunSun1+20,"")</f>
        <v>42539</v>
      </c>
      <c r="U44" s="49"/>
      <c r="V44" s="16"/>
      <c r="W44" s="60"/>
      <c r="X44" s="51">
        <f>IF(AND(YEAR(SepSun1+14)=$A$1,MONTH(SepSun1+14)=9),SepSun1+14,"")</f>
        <v>42624</v>
      </c>
      <c r="Y44" s="51">
        <f>IF(AND(YEAR(SepSun1+15)=$A$1,MONTH(SepSun1+15)=9),SepSun1+15,"")</f>
        <v>42625</v>
      </c>
      <c r="Z44" s="51">
        <f>IF(AND(YEAR(SepSun1+16)=$A$1,MONTH(SepSun1+16)=9),SepSun1+16,"")</f>
        <v>42626</v>
      </c>
      <c r="AA44" s="51">
        <f>IF(AND(YEAR(SepSun1+17)=$A$1,MONTH(SepSun1+17)=9),SepSun1+17,"")</f>
        <v>42627</v>
      </c>
      <c r="AB44" s="51">
        <f>IF(AND(YEAR(SepSun1+18)=$A$1,MONTH(SepSun1+18)=9),SepSun1+18,"")</f>
        <v>42628</v>
      </c>
      <c r="AC44" s="51">
        <f>IF(AND(YEAR(SepSun1+19)=$A$1,MONTH(SepSun1+19)=9),SepSun1+19,"")</f>
        <v>42629</v>
      </c>
      <c r="AD44" s="51">
        <f>IF(AND(YEAR(SepSun1+20)=$A$1,MONTH(SepSun1+20)=9),SepSun1+20,"")</f>
        <v>42630</v>
      </c>
      <c r="AE44" s="49"/>
      <c r="AF44" s="16"/>
      <c r="AG44" s="60"/>
      <c r="AH44" s="51">
        <f>IF(AND(YEAR(DecSun1+14)=$A$1,MONTH(DecSun1+14)=12),DecSun1+14,"")</f>
        <v>42715</v>
      </c>
      <c r="AI44" s="51">
        <f>IF(AND(YEAR(DecSun1+15)=$A$1,MONTH(DecSun1+15)=12),DecSun1+15,"")</f>
        <v>42716</v>
      </c>
      <c r="AJ44" s="51">
        <f>IF(AND(YEAR(DecSun1+16)=$A$1,MONTH(DecSun1+16)=12),DecSun1+16,"")</f>
        <v>42717</v>
      </c>
      <c r="AK44" s="51">
        <f>IF(AND(YEAR(DecSun1+17)=$A$1,MONTH(DecSun1+17)=12),DecSun1+17,"")</f>
        <v>42718</v>
      </c>
      <c r="AL44" s="51">
        <f>IF(AND(YEAR(DecSun1+18)=$A$1,MONTH(DecSun1+18)=12),DecSun1+18,"")</f>
        <v>42719</v>
      </c>
      <c r="AM44" s="51">
        <f>IF(AND(YEAR(DecSun1+19)=$A$1,MONTH(DecSun1+19)=12),DecSun1+19,"")</f>
        <v>42720</v>
      </c>
      <c r="AN44" s="51">
        <f>IF(AND(YEAR(DecSun1+20)=$A$1,MONTH(DecSun1+20)=12),DecSun1+20,"")</f>
        <v>42721</v>
      </c>
      <c r="AO44" s="44"/>
      <c r="AP44" s="3"/>
      <c r="AQ44" s="3"/>
      <c r="AR44" s="6"/>
      <c r="AS44" s="6"/>
      <c r="AT44" s="6"/>
      <c r="AU44" s="6"/>
    </row>
    <row r="45" spans="1:47" ht="15.95" customHeight="1">
      <c r="A45" s="6"/>
      <c r="B45" s="64"/>
      <c r="C45" s="62"/>
      <c r="D45" s="52"/>
      <c r="E45" s="52"/>
      <c r="F45" s="52"/>
      <c r="G45" s="52"/>
      <c r="H45" s="52"/>
      <c r="I45" s="52"/>
      <c r="J45" s="52"/>
      <c r="K45" s="83"/>
      <c r="L45" s="84"/>
      <c r="M45" s="62"/>
      <c r="N45" s="52"/>
      <c r="O45" s="52"/>
      <c r="P45" s="52"/>
      <c r="Q45" s="52"/>
      <c r="R45" s="52"/>
      <c r="S45" s="52"/>
      <c r="T45" s="52"/>
      <c r="U45" s="83"/>
      <c r="V45" s="84"/>
      <c r="W45" s="62"/>
      <c r="X45" s="52"/>
      <c r="Y45" s="52"/>
      <c r="Z45" s="52"/>
      <c r="AA45" s="52"/>
      <c r="AB45" s="52"/>
      <c r="AC45" s="52"/>
      <c r="AD45" s="52"/>
      <c r="AE45" s="83"/>
      <c r="AF45" s="84"/>
      <c r="AG45" s="62"/>
      <c r="AH45" s="52"/>
      <c r="AI45" s="52"/>
      <c r="AJ45" s="52"/>
      <c r="AK45" s="52"/>
      <c r="AL45" s="52"/>
      <c r="AM45" s="52"/>
      <c r="AN45" s="52"/>
      <c r="AO45" s="45"/>
      <c r="AP45" s="16"/>
      <c r="AQ45" s="6"/>
      <c r="AR45" s="3"/>
      <c r="AS45" s="3"/>
      <c r="AT45" s="3"/>
      <c r="AU45" s="3"/>
    </row>
    <row r="46" spans="1:47" ht="15.95" customHeight="1">
      <c r="A46" s="3"/>
      <c r="B46" s="63"/>
      <c r="C46" s="60"/>
      <c r="D46" s="51">
        <f>IF(AND(YEAR(MarSun1+21)=$A$1,MONTH(MarSun1+21)=3),MarSun1+21,"")</f>
        <v>42449</v>
      </c>
      <c r="E46" s="51">
        <f>IF(AND(YEAR(MarSun1+22)=$A$1,MONTH(MarSun1+22)=3),MarSun1+22,"")</f>
        <v>42450</v>
      </c>
      <c r="F46" s="51">
        <f>IF(AND(YEAR(MarSun1+23)=$A$1,MONTH(MarSun1+23)=3),MarSun1+23,"")</f>
        <v>42451</v>
      </c>
      <c r="G46" s="51">
        <f>IF(AND(YEAR(MarSun1+24)=$A$1,MONTH(MarSun1+24)=3),MarSun1+24,"")</f>
        <v>42452</v>
      </c>
      <c r="H46" s="51">
        <f>IF(AND(YEAR(MarSun1+25)=$A$1,MONTH(MarSun1+25)=3),MarSun1+25,"")</f>
        <v>42453</v>
      </c>
      <c r="I46" s="51">
        <f>IF(AND(YEAR(MarSun1+26)=$A$1,MONTH(MarSun1+26)=3),MarSun1+26,"")</f>
        <v>42454</v>
      </c>
      <c r="J46" s="51">
        <f>IF(AND(YEAR(MarSun1+27)=$A$1,MONTH(MarSun1+27)=3),MarSun1+27,"")</f>
        <v>42455</v>
      </c>
      <c r="K46" s="49"/>
      <c r="L46" s="16"/>
      <c r="M46" s="60"/>
      <c r="N46" s="51">
        <f>IF(AND(YEAR(JunSun1+21)=$A$1,MONTH(JunSun1+21)=6),JunSun1+21,"")</f>
        <v>42540</v>
      </c>
      <c r="O46" s="51">
        <f>IF(AND(YEAR(JunSun1+22)=$A$1,MONTH(JunSun1+22)=6),JunSun1+22,"")</f>
        <v>42541</v>
      </c>
      <c r="P46" s="51">
        <f>IF(AND(YEAR(JunSun1+23)=$A$1,MONTH(JunSun1+23)=6),JunSun1+23,"")</f>
        <v>42542</v>
      </c>
      <c r="Q46" s="51">
        <f>IF(AND(YEAR(JunSun1+24)=$A$1,MONTH(JunSun1+24)=6),JunSun1+24,"")</f>
        <v>42543</v>
      </c>
      <c r="R46" s="51">
        <f>IF(AND(YEAR(JunSun1+25)=$A$1,MONTH(JunSun1+25)=6),JunSun1+25,"")</f>
        <v>42544</v>
      </c>
      <c r="S46" s="51">
        <f>IF(AND(YEAR(JunSun1+26)=$A$1,MONTH(JunSun1+26)=6),JunSun1+26,"")</f>
        <v>42545</v>
      </c>
      <c r="T46" s="51">
        <f>IF(AND(YEAR(JunSun1+27)=$A$1,MONTH(JunSun1+27)=6),JunSun1+27,"")</f>
        <v>42546</v>
      </c>
      <c r="U46" s="49"/>
      <c r="V46" s="16"/>
      <c r="W46" s="60"/>
      <c r="X46" s="51">
        <f>IF(AND(YEAR(SepSun1+21)=$A$1,MONTH(SepSun1+21)=9),SepSun1+21,"")</f>
        <v>42631</v>
      </c>
      <c r="Y46" s="51">
        <f>IF(AND(YEAR(SepSun1+22)=$A$1,MONTH(SepSun1+22)=9),SepSun1+22,"")</f>
        <v>42632</v>
      </c>
      <c r="Z46" s="51">
        <f>IF(AND(YEAR(SepSun1+23)=$A$1,MONTH(SepSun1+23)=9),SepSun1+23,"")</f>
        <v>42633</v>
      </c>
      <c r="AA46" s="51">
        <f>IF(AND(YEAR(SepSun1+24)=$A$1,MONTH(SepSun1+24)=9),SepSun1+24,"")</f>
        <v>42634</v>
      </c>
      <c r="AB46" s="51">
        <f>IF(AND(YEAR(SepSun1+25)=$A$1,MONTH(SepSun1+25)=9),SepSun1+25,"")</f>
        <v>42635</v>
      </c>
      <c r="AC46" s="51">
        <f>IF(AND(YEAR(SepSun1+26)=$A$1,MONTH(SepSun1+26)=9),SepSun1+26,"")</f>
        <v>42636</v>
      </c>
      <c r="AD46" s="51">
        <f>IF(AND(YEAR(SepSun1+27)=$A$1,MONTH(SepSun1+27)=9),SepSun1+27,"")</f>
        <v>42637</v>
      </c>
      <c r="AE46" s="49"/>
      <c r="AF46" s="16"/>
      <c r="AG46" s="60"/>
      <c r="AH46" s="51">
        <f>IF(AND(YEAR(DecSun1+21)=$A$1,MONTH(DecSun1+21)=12),DecSun1+21,"")</f>
        <v>42722</v>
      </c>
      <c r="AI46" s="51">
        <f>IF(AND(YEAR(DecSun1+22)=$A$1,MONTH(DecSun1+22)=12),DecSun1+22,"")</f>
        <v>42723</v>
      </c>
      <c r="AJ46" s="51">
        <f>IF(AND(YEAR(DecSun1+23)=$A$1,MONTH(DecSun1+23)=12),DecSun1+23,"")</f>
        <v>42724</v>
      </c>
      <c r="AK46" s="51">
        <f>IF(AND(YEAR(DecSun1+24)=$A$1,MONTH(DecSun1+24)=12),DecSun1+24,"")</f>
        <v>42725</v>
      </c>
      <c r="AL46" s="51">
        <f>IF(AND(YEAR(DecSun1+25)=$A$1,MONTH(DecSun1+25)=12),DecSun1+25,"")</f>
        <v>42726</v>
      </c>
      <c r="AM46" s="51">
        <f>IF(AND(YEAR(DecSun1+26)=$A$1,MONTH(DecSun1+26)=12),DecSun1+26,"")</f>
        <v>42727</v>
      </c>
      <c r="AN46" s="51">
        <f>IF(AND(YEAR(DecSun1+27)=$A$1,MONTH(DecSun1+27)=12),DecSun1+27,"")</f>
        <v>42728</v>
      </c>
      <c r="AO46" s="44"/>
      <c r="AP46" s="40"/>
      <c r="AQ46" s="3"/>
      <c r="AR46" s="6"/>
      <c r="AS46" s="6"/>
      <c r="AT46" s="6"/>
      <c r="AU46" s="6"/>
    </row>
    <row r="47" spans="1:44" ht="15.95" customHeight="1">
      <c r="A47" s="6"/>
      <c r="B47" s="64"/>
      <c r="C47" s="62"/>
      <c r="D47" s="52"/>
      <c r="E47" s="52"/>
      <c r="F47" s="52"/>
      <c r="G47" s="52"/>
      <c r="H47" s="52"/>
      <c r="I47" s="52"/>
      <c r="J47" s="52"/>
      <c r="K47" s="83"/>
      <c r="L47" s="84"/>
      <c r="M47" s="62"/>
      <c r="N47" s="52"/>
      <c r="O47" s="52"/>
      <c r="P47" s="52"/>
      <c r="Q47" s="52"/>
      <c r="R47" s="52"/>
      <c r="S47" s="52"/>
      <c r="T47" s="52"/>
      <c r="U47" s="83"/>
      <c r="V47" s="84"/>
      <c r="W47" s="62"/>
      <c r="X47" s="52"/>
      <c r="Y47" s="52"/>
      <c r="Z47" s="52"/>
      <c r="AA47" s="52"/>
      <c r="AB47" s="52"/>
      <c r="AC47" s="52"/>
      <c r="AD47" s="52"/>
      <c r="AE47" s="83"/>
      <c r="AF47" s="84"/>
      <c r="AG47" s="62"/>
      <c r="AH47" s="52"/>
      <c r="AI47" s="52"/>
      <c r="AJ47" s="52"/>
      <c r="AK47" s="52"/>
      <c r="AL47" s="52"/>
      <c r="AM47" s="52"/>
      <c r="AN47" s="52"/>
      <c r="AO47" s="45"/>
      <c r="AQ47" s="16"/>
      <c r="AR47" s="12"/>
    </row>
    <row r="48" spans="2:43" s="42" customFormat="1" ht="15.95" customHeight="1">
      <c r="B48" s="72"/>
      <c r="C48" s="60"/>
      <c r="D48" s="51">
        <f>IF(AND(YEAR(MarSun1+28)=$A$1,MONTH(MarSun1+28)=3),MarSun1+28,"")</f>
        <v>42456</v>
      </c>
      <c r="E48" s="51">
        <f>IF(AND(YEAR(MarSun1+29)=$A$1,MONTH(MarSun1+29)=3),MarSun1+29,"")</f>
        <v>42457</v>
      </c>
      <c r="F48" s="51">
        <f>IF(AND(YEAR(MarSun1+30)=$A$1,MONTH(MarSun1+30)=3),MarSun1+30,"")</f>
        <v>42458</v>
      </c>
      <c r="G48" s="51">
        <f>IF(AND(YEAR(MarSun1+31)=$A$1,MONTH(MarSun1+31)=3),MarSun1+31,"")</f>
        <v>42459</v>
      </c>
      <c r="H48" s="51">
        <f>IF(AND(YEAR(MarSun1+32)=$A$1,MONTH(MarSun1+32)=3),MarSun1+32,"")</f>
        <v>42460</v>
      </c>
      <c r="I48" s="51" t="str">
        <f>IF(AND(YEAR(MarSun1+33)=$A$1,MONTH(MarSun1+33)=3),MarSun1+33,"")</f>
        <v/>
      </c>
      <c r="J48" s="51" t="str">
        <f>IF(AND(YEAR(MarSun1+34)=$A$1,MONTH(MarSun1+34)=3),MarSun1+34,"")</f>
        <v/>
      </c>
      <c r="K48" s="49"/>
      <c r="L48" s="16"/>
      <c r="M48" s="60"/>
      <c r="N48" s="51">
        <f>IF(AND(YEAR(JunSun1+28)=$A$1,MONTH(JunSun1+28)=6),JunSun1+28,"")</f>
        <v>42547</v>
      </c>
      <c r="O48" s="51">
        <f>IF(AND(YEAR(JunSun1+29)=$A$1,MONTH(JunSun1+29)=6),JunSun1+29,"")</f>
        <v>42548</v>
      </c>
      <c r="P48" s="51">
        <f>IF(AND(YEAR(JunSun1+30)=$A$1,MONTH(JunSun1+30)=6),JunSun1+30,"")</f>
        <v>42549</v>
      </c>
      <c r="Q48" s="51">
        <f>IF(AND(YEAR(JunSun1+31)=$A$1,MONTH(JunSun1+31)=6),JunSun1+31,"")</f>
        <v>42550</v>
      </c>
      <c r="R48" s="51">
        <f>IF(AND(YEAR(JunSun1+32)=$A$1,MONTH(JunSun1+32)=6),JunSun1+32,"")</f>
        <v>42551</v>
      </c>
      <c r="S48" s="51" t="str">
        <f>IF(AND(YEAR(JunSun1+33)=$A$1,MONTH(JunSun1+33)=6),JunSun1+33,"")</f>
        <v/>
      </c>
      <c r="T48" s="51" t="str">
        <f>IF(AND(YEAR(JunSun1+34)=$A$1,MONTH(JunSun1+34)=6),JunSun1+34,"")</f>
        <v/>
      </c>
      <c r="U48" s="49"/>
      <c r="V48" s="16"/>
      <c r="W48" s="60"/>
      <c r="X48" s="51">
        <f>IF(AND(YEAR(SepSun1+28)=$A$1,MONTH(SepSun1+28)=9),SepSun1+28,"")</f>
        <v>42638</v>
      </c>
      <c r="Y48" s="51">
        <f>IF(AND(YEAR(SepSun1+29)=$A$1,MONTH(SepSun1+29)=9),SepSun1+29,"")</f>
        <v>42639</v>
      </c>
      <c r="Z48" s="51">
        <f>IF(AND(YEAR(SepSun1+30)=$A$1,MONTH(SepSun1+30)=9),SepSun1+30,"")</f>
        <v>42640</v>
      </c>
      <c r="AA48" s="51">
        <f>IF(AND(YEAR(SepSun1+31)=$A$1,MONTH(SepSun1+31)=9),SepSun1+31,"")</f>
        <v>42641</v>
      </c>
      <c r="AB48" s="51">
        <f>IF(AND(YEAR(SepSun1+32)=$A$1,MONTH(SepSun1+32)=9),SepSun1+32,"")</f>
        <v>42642</v>
      </c>
      <c r="AC48" s="51">
        <f>IF(AND(YEAR(SepSun1+33)=$A$1,MONTH(SepSun1+33)=9),SepSun1+33,"")</f>
        <v>42643</v>
      </c>
      <c r="AD48" s="51" t="str">
        <f>IF(AND(YEAR(SepSun1+34)=$A$1,MONTH(SepSun1+34)=9),SepSun1+34,"")</f>
        <v/>
      </c>
      <c r="AE48" s="49"/>
      <c r="AF48" s="16"/>
      <c r="AG48" s="60"/>
      <c r="AH48" s="51">
        <f>IF(AND(YEAR(DecSun1+28)=$A$1,MONTH(DecSun1+28)=12),DecSun1+28,"")</f>
        <v>42729</v>
      </c>
      <c r="AI48" s="51">
        <f>IF(AND(YEAR(DecSun1+29)=$A$1,MONTH(DecSun1+29)=12),DecSun1+29,"")</f>
        <v>42730</v>
      </c>
      <c r="AJ48" s="51">
        <f>IF(AND(YEAR(DecSun1+30)=$A$1,MONTH(DecSun1+30)=12),DecSun1+30,"")</f>
        <v>42731</v>
      </c>
      <c r="AK48" s="51">
        <f>IF(AND(YEAR(DecSun1+31)=$A$1,MONTH(DecSun1+31)=12),DecSun1+31,"")</f>
        <v>42732</v>
      </c>
      <c r="AL48" s="51">
        <f>IF(AND(YEAR(DecSun1+32)=$A$1,MONTH(DecSun1+32)=12),DecSun1+32,"")</f>
        <v>42733</v>
      </c>
      <c r="AM48" s="51">
        <f>IF(AND(YEAR(DecSun1+33)=$A$1,MONTH(DecSun1+33)=12),DecSun1+33,"")</f>
        <v>42734</v>
      </c>
      <c r="AN48" s="51">
        <f>IF(AND(YEAR(DecSun1+34)=$A$1,MONTH(DecSun1+34)=12),DecSun1+34,"")</f>
        <v>42735</v>
      </c>
      <c r="AO48" s="44"/>
      <c r="AP48" s="2"/>
      <c r="AQ48" s="40"/>
    </row>
    <row r="49" spans="3:41" ht="12.75">
      <c r="C49" s="62"/>
      <c r="D49" s="52"/>
      <c r="E49" s="52"/>
      <c r="F49" s="52"/>
      <c r="G49" s="52"/>
      <c r="H49" s="52"/>
      <c r="I49" s="53"/>
      <c r="J49" s="53"/>
      <c r="K49" s="83"/>
      <c r="L49" s="84"/>
      <c r="M49" s="62"/>
      <c r="N49" s="52"/>
      <c r="O49" s="52"/>
      <c r="P49" s="52"/>
      <c r="Q49" s="52"/>
      <c r="R49" s="52"/>
      <c r="S49" s="53"/>
      <c r="T49" s="53"/>
      <c r="U49" s="83"/>
      <c r="V49" s="84"/>
      <c r="W49" s="62"/>
      <c r="X49" s="52"/>
      <c r="Y49" s="52"/>
      <c r="Z49" s="52"/>
      <c r="AA49" s="52"/>
      <c r="AB49" s="52"/>
      <c r="AC49" s="52"/>
      <c r="AD49" s="53"/>
      <c r="AE49" s="83"/>
      <c r="AF49" s="84"/>
      <c r="AG49" s="62"/>
      <c r="AH49" s="52"/>
      <c r="AI49" s="52"/>
      <c r="AJ49" s="52"/>
      <c r="AK49" s="52"/>
      <c r="AL49" s="52"/>
      <c r="AM49" s="52"/>
      <c r="AN49" s="52"/>
      <c r="AO49" s="45"/>
    </row>
    <row r="50" spans="3:41" ht="12.75">
      <c r="C50" s="60"/>
      <c r="D50" s="51" t="str">
        <f>IF(AND(YEAR(MarSun1+35)=$A$1,MONTH(MarSun1+35)=3),MarSun1+35,"")</f>
        <v/>
      </c>
      <c r="E50" s="51" t="str">
        <f>IF(AND(YEAR(MarSun1+36)=$A$1,MONTH(MarSun1+36)=3),MarSun1+36,"")</f>
        <v/>
      </c>
      <c r="F50" s="51" t="str">
        <f>IF(AND(YEAR(MarSun1+37)=$A$1,MONTH(MarSun1+37)=3),MarSun1+37,"")</f>
        <v/>
      </c>
      <c r="G50" s="51" t="str">
        <f>IF(AND(YEAR(MarSun1+38)=$A$1,MONTH(MarSun1+38)=3),MarSun1+38,"")</f>
        <v/>
      </c>
      <c r="H50" s="51" t="str">
        <f>IF(AND(YEAR(MarSun1+39)=$A$1,MONTH(MarSun1+39)=3),MarSun1+39,"")</f>
        <v/>
      </c>
      <c r="I50" s="51" t="str">
        <f>IF(AND(YEAR(MarSun1+40)=$A$1,MONTH(MarSun1+40)=3),MarSun1+40,"")</f>
        <v/>
      </c>
      <c r="J50" s="51" t="str">
        <f>IF(AND(YEAR(MarSun1+41)=$A$1,MONTH(MarSun1+41)=3),MarSun1+41,"")</f>
        <v/>
      </c>
      <c r="K50" s="49"/>
      <c r="L50" s="16"/>
      <c r="M50" s="60"/>
      <c r="N50" s="51" t="str">
        <f>IF(AND(YEAR(JunSun1+35)=$A$1,MONTH(JunSun1+35)=6),JunSun1+35,"")</f>
        <v/>
      </c>
      <c r="O50" s="51" t="str">
        <f>IF(AND(YEAR(JunSun1+36)=$A$1,MONTH(JunSun1+36)=6),JunSun1+36,"")</f>
        <v/>
      </c>
      <c r="P50" s="51" t="str">
        <f>IF(AND(YEAR(JunSun1+37)=$A$1,MONTH(JunSun1+37)=6),JunSun1+37,"")</f>
        <v/>
      </c>
      <c r="Q50" s="51" t="str">
        <f>IF(AND(YEAR(JunSun1+38)=$A$1,MONTH(JunSun1+38)=6),JunSun1+38,"")</f>
        <v/>
      </c>
      <c r="R50" s="51" t="str">
        <f>IF(AND(YEAR(JunSun1+39)=$A$1,MONTH(JunSun1+39)=6),JunSun1+39,"")</f>
        <v/>
      </c>
      <c r="S50" s="51" t="str">
        <f>IF(AND(YEAR(JunSun1+40)=$A$1,MONTH(JunSun1+40)=6),JunSun1+40,"")</f>
        <v/>
      </c>
      <c r="T50" s="51" t="str">
        <f>IF(AND(YEAR(JunSun1+41)=$A$1,MONTH(JunSun1+41)=6),JunSun1+41,"")</f>
        <v/>
      </c>
      <c r="U50" s="49"/>
      <c r="V50" s="16"/>
      <c r="W50" s="60"/>
      <c r="X50" s="51" t="str">
        <f>IF(AND(YEAR(SepSun1+35)=$A$1,MONTH(SepSun1+35)=9),SepSun1+35,"")</f>
        <v/>
      </c>
      <c r="Y50" s="51" t="str">
        <f>IF(AND(YEAR(SepSun1+36)=$A$1,MONTH(SepSun1+36)=9),SepSun1+36,"")</f>
        <v/>
      </c>
      <c r="Z50" s="51" t="str">
        <f>IF(AND(YEAR(SepSun1+37)=$A$1,MONTH(SepSun1+37)=9),SepSun1+37,"")</f>
        <v/>
      </c>
      <c r="AA50" s="51" t="str">
        <f>IF(AND(YEAR(SepSun1+38)=$A$1,MONTH(SepSun1+38)=9),SepSun1+38,"")</f>
        <v/>
      </c>
      <c r="AB50" s="51" t="str">
        <f>IF(AND(YEAR(SepSun1+39)=$A$1,MONTH(SepSun1+39)=9),SepSun1+39,"")</f>
        <v/>
      </c>
      <c r="AC50" s="51" t="str">
        <f>IF(AND(YEAR(SepSun1+40)=$A$1,MONTH(SepSun1+40)=9),SepSun1+40,"")</f>
        <v/>
      </c>
      <c r="AD50" s="51" t="str">
        <f>IF(AND(YEAR(SepSun1+41)=$A$1,MONTH(SepSun1+41)=9),SepSun1+41,"")</f>
        <v/>
      </c>
      <c r="AE50" s="49"/>
      <c r="AF50" s="16"/>
      <c r="AG50" s="60"/>
      <c r="AH50" s="51" t="str">
        <f>IF(AND(YEAR(DecSun1+35)=$A$1,MONTH(DecSun1+35)=12),DecSun1+35,"")</f>
        <v/>
      </c>
      <c r="AI50" s="51" t="str">
        <f>IF(AND(YEAR(DecSun1+36)=$A$1,MONTH(DecSun1+36)=12),DecSun1+36,"")</f>
        <v/>
      </c>
      <c r="AJ50" s="51" t="str">
        <f>IF(AND(YEAR(DecSun1+37)=$A$1,MONTH(DecSun1+37)=12),DecSun1+37,"")</f>
        <v/>
      </c>
      <c r="AK50" s="51" t="str">
        <f>IF(AND(YEAR(DecSun1+38)=$A$1,MONTH(DecSun1+38)=12),DecSun1+38,"")</f>
        <v/>
      </c>
      <c r="AL50" s="51" t="str">
        <f>IF(AND(YEAR(DecSun1+39)=$A$1,MONTH(DecSun1+39)=12),DecSun1+39,"")</f>
        <v/>
      </c>
      <c r="AM50" s="51" t="str">
        <f>IF(AND(YEAR(DecSun1+40)=$A$1,MONTH(DecSun1+40)=12),DecSun1+40,"")</f>
        <v/>
      </c>
      <c r="AN50" s="51" t="str">
        <f>IF(AND(YEAR(DecSun1+41)=$A$1,MONTH(DecSun1+41)=12),DecSun1+41,"")</f>
        <v/>
      </c>
      <c r="AO50" s="44"/>
    </row>
    <row r="51" spans="3:41" ht="12.75">
      <c r="C51" s="74"/>
      <c r="D51" s="53"/>
      <c r="E51" s="53"/>
      <c r="F51" s="53"/>
      <c r="G51" s="53"/>
      <c r="H51" s="53"/>
      <c r="I51" s="53"/>
      <c r="J51" s="53"/>
      <c r="K51" s="55" t="s">
        <v>21</v>
      </c>
      <c r="L51" s="16"/>
      <c r="M51" s="74"/>
      <c r="N51" s="53"/>
      <c r="O51" s="53"/>
      <c r="P51" s="53"/>
      <c r="Q51" s="53"/>
      <c r="R51" s="53"/>
      <c r="S51" s="53"/>
      <c r="T51" s="53"/>
      <c r="U51" s="55" t="s">
        <v>21</v>
      </c>
      <c r="V51" s="16"/>
      <c r="W51" s="74"/>
      <c r="X51" s="53"/>
      <c r="Y51" s="53"/>
      <c r="Z51" s="53"/>
      <c r="AA51" s="53"/>
      <c r="AB51" s="53"/>
      <c r="AC51" s="53"/>
      <c r="AD51" s="53"/>
      <c r="AE51" s="55" t="s">
        <v>21</v>
      </c>
      <c r="AF51" s="16"/>
      <c r="AG51" s="62"/>
      <c r="AH51" s="53"/>
      <c r="AI51" s="53"/>
      <c r="AJ51" s="53"/>
      <c r="AK51" s="53"/>
      <c r="AL51" s="53"/>
      <c r="AM51" s="53"/>
      <c r="AN51" s="53"/>
      <c r="AO51" s="55" t="s">
        <v>21</v>
      </c>
    </row>
    <row r="52" spans="3:41" ht="15.75" customHeight="1" thickBot="1">
      <c r="C52" s="65" t="s">
        <v>35</v>
      </c>
      <c r="D52" s="110">
        <f>COUNTIF(D43:J43,"AC")+COUNTIF(D45:J45,"AC")+COUNTIF(D47:J47,"AC")+COUNTIF(D49:J49,"AC")+COUNTIF(D51:J51,"AC")+COUNTIF(D41:J41,"AC")</f>
        <v>0</v>
      </c>
      <c r="E52" s="111" t="s">
        <v>2</v>
      </c>
      <c r="F52" s="110">
        <f>COUNTIF(D43:J43,"T")+COUNTIF(D45:J45,"T")+COUNTIF(D47:J47,"T")+COUNTIF(D49:J49,"T")+COUNTIF(D51:J51,"T")+COUNTIF(D41:J41,"T")</f>
        <v>0</v>
      </c>
      <c r="G52" s="111" t="s">
        <v>20</v>
      </c>
      <c r="H52" s="110">
        <f>COUNTIF(D43:J43,"MP")+COUNTIF(D45:J45,"MP")+COUNTIF(D47:J47,"MP")+COUNTIF(D49:J49,"MP")+COUNTIF(D51:J51,"MP")+COUNTIF(D41:J41,"MP")</f>
        <v>0</v>
      </c>
      <c r="I52" s="111" t="s">
        <v>22</v>
      </c>
      <c r="J52" s="110">
        <f>COUNTIF(D43:J43,"A")+COUNTIF(D45:J45,"A")+COUNTIF(D47:J47,"A")+COUNTIF(D49:J49,"A")+COUNTIF(D51:J51,"A")+COUNTIF(D41:J41,"A")</f>
        <v>0</v>
      </c>
      <c r="K52" s="54">
        <f>SUM((F52*0.5)+(H52*0.5)+(J52))</f>
        <v>0</v>
      </c>
      <c r="L52" s="85"/>
      <c r="M52" s="65" t="s">
        <v>35</v>
      </c>
      <c r="N52" s="110">
        <f>COUNTIF(N43:T43,"AC")+COUNTIF(N45:T45,"AC")+COUNTIF(N47:T47,"AC")+COUNTIF(N49:T49,"AC")+COUNTIF(N51:T51,"AC")+COUNTIF(N41:T41,"AC")</f>
        <v>0</v>
      </c>
      <c r="O52" s="111" t="s">
        <v>2</v>
      </c>
      <c r="P52" s="110">
        <f>COUNTIF(N43:T43,"T")+COUNTIF(N45:T45,"T")+COUNTIF(N47:T47,"T")+COUNTIF(N49:T49,"T")+COUNTIF(N51:T51,"T")+COUNTIF(N41:T41,"T")</f>
        <v>0</v>
      </c>
      <c r="Q52" s="111" t="s">
        <v>20</v>
      </c>
      <c r="R52" s="110">
        <f>COUNTIF(N43:T43,"MP")+COUNTIF(N45:T45,"MP")+COUNTIF(N47:T47,"MP")+COUNTIF(N49:T49,"MP")+COUNTIF(N51:T51,"MP")+COUNTIF(N41:T41,"MP")</f>
        <v>0</v>
      </c>
      <c r="S52" s="111" t="s">
        <v>22</v>
      </c>
      <c r="T52" s="110">
        <f>COUNTIF(N43:T43,"A")+COUNTIF(N45:T45,"A")+COUNTIF(N47:T47,"A")+COUNTIF(N49:T49,"A")+COUNTIF(N51:T51,"A")+COUNTIF(N41:T41,"A")</f>
        <v>0</v>
      </c>
      <c r="U52" s="54">
        <f>SUM((P52*0.5)+(R52*0.5)+(T52))</f>
        <v>0</v>
      </c>
      <c r="V52" s="85"/>
      <c r="W52" s="65" t="s">
        <v>35</v>
      </c>
      <c r="X52" s="110">
        <f>COUNTIF(X43:AD43,"AC")+COUNTIF(X45:AD45,"AC")+COUNTIF(X47:AD47,"AC")+COUNTIF(X49:AD49,"AC")+COUNTIF(X51:AD51,"AC")+COUNTIF(X41:AD41,"AC")</f>
        <v>0</v>
      </c>
      <c r="Y52" s="111" t="s">
        <v>2</v>
      </c>
      <c r="Z52" s="110">
        <f>COUNTIF(X43:AD43,"T")+COUNTIF(X45:AD45,"T")+COUNTIF(X47:AD47,"T")+COUNTIF(X49:AD49,"T")+COUNTIF(X51:AD51,"T")+COUNTIF(X41:AD41,"T")</f>
        <v>0</v>
      </c>
      <c r="AA52" s="111" t="s">
        <v>20</v>
      </c>
      <c r="AB52" s="110">
        <f>COUNTIF(X43:AD43,"MP")+COUNTIF(X45:AD45,"MP")+COUNTIF(X47:AD47,"MP")+COUNTIF(X49:AD49,"MP")+COUNTIF(X51:AD51,"MP")+COUNTIF(X41:AD41,"MP")</f>
        <v>0</v>
      </c>
      <c r="AC52" s="111" t="s">
        <v>22</v>
      </c>
      <c r="AD52" s="110">
        <f>COUNTIF(X43:AD43,"A")+COUNTIF(X45:AD45,"A")+COUNTIF(X47:AD47,"A")+COUNTIF(X49:AD49,"A")+COUNTIF(X51:AD51,"A")+COUNTIF(X41:AD41,"A")</f>
        <v>0</v>
      </c>
      <c r="AE52" s="54">
        <f>SUM((Z52*0.5)+(AB52*0.5)+(AD52))</f>
        <v>0</v>
      </c>
      <c r="AF52" s="85"/>
      <c r="AG52" s="65" t="s">
        <v>35</v>
      </c>
      <c r="AH52" s="110">
        <f>COUNTIF(AH43:AN43,"AC")+COUNTIF(AH45:AN45,"AC")+COUNTIF(AH47:AN47,"AC")+COUNTIF(AH49:AN49,"AC")+COUNTIF(AH51:AN51,"AC")+COUNTIF(AH41:AN41,"AC")</f>
        <v>0</v>
      </c>
      <c r="AI52" s="111" t="s">
        <v>2</v>
      </c>
      <c r="AJ52" s="110">
        <f>COUNTIF(AH43:AN43,"T")+COUNTIF(AH45:AN45,"T")+COUNTIF(AH47:AN47,"T")+COUNTIF(AH49:AN49,"T")+COUNTIF(AH51:AN51,"T")+COUNTIF(AH41:AN41,"T")</f>
        <v>0</v>
      </c>
      <c r="AK52" s="111" t="s">
        <v>20</v>
      </c>
      <c r="AL52" s="110">
        <f>COUNTIF(AH43:AN43,"MP")+COUNTIF(AH45:AN45,"MP")+COUNTIF(AH47:AN47,"MP")+COUNTIF(AH49:AN49,"MP")+COUNTIF(AH51:AN51,"MP")+COUNTIF(AH41:AN41,"MP")</f>
        <v>0</v>
      </c>
      <c r="AM52" s="111" t="s">
        <v>22</v>
      </c>
      <c r="AN52" s="110">
        <f>COUNTIF(AH43:AN43,"A")+COUNTIF(AH45:AN45,"A")+COUNTIF(AH47:AN47,"A")+COUNTIF(AH49:AN49,"A")+COUNTIF(AH51:AN51,"A")+COUNTIF(AH41:AN41,"A")</f>
        <v>0</v>
      </c>
      <c r="AO52" s="54">
        <f>SUM((AJ52*0.5)+(AL52*0.5)+(AN52))</f>
        <v>0</v>
      </c>
    </row>
    <row r="53" spans="3:40" ht="15.75" thickTop="1">
      <c r="C53" s="75"/>
      <c r="D53" s="75"/>
      <c r="E53" s="75"/>
      <c r="F53" s="75"/>
      <c r="G53" s="75"/>
      <c r="H53" s="75"/>
      <c r="I53" s="75"/>
      <c r="J53" s="75"/>
      <c r="K53" s="118"/>
      <c r="L53" s="119"/>
      <c r="N53" s="75"/>
      <c r="O53" s="75"/>
      <c r="P53" s="75"/>
      <c r="Q53" s="75"/>
      <c r="R53" s="75"/>
      <c r="S53" s="75"/>
      <c r="T53" s="75"/>
      <c r="U53" s="118"/>
      <c r="V53" s="119"/>
      <c r="X53" s="75"/>
      <c r="Y53" s="75"/>
      <c r="Z53" s="75"/>
      <c r="AA53" s="75"/>
      <c r="AB53" s="75"/>
      <c r="AC53" s="75"/>
      <c r="AD53" s="75"/>
      <c r="AE53" s="118"/>
      <c r="AF53" s="119"/>
      <c r="AH53" s="75"/>
      <c r="AI53" s="75"/>
      <c r="AJ53" s="75"/>
      <c r="AK53" s="75"/>
      <c r="AL53" s="75"/>
      <c r="AM53" s="75"/>
      <c r="AN53" s="75"/>
    </row>
    <row r="54" spans="3:40" ht="15.75" customHeight="1">
      <c r="C54" s="75"/>
      <c r="D54" s="75"/>
      <c r="E54" s="75"/>
      <c r="F54" s="75"/>
      <c r="G54" s="75"/>
      <c r="H54" s="75"/>
      <c r="I54" s="75"/>
      <c r="J54" s="75"/>
      <c r="K54" s="118"/>
      <c r="L54" s="119"/>
      <c r="N54" s="75"/>
      <c r="O54" s="75"/>
      <c r="P54" s="75"/>
      <c r="Q54" s="75"/>
      <c r="R54" s="75"/>
      <c r="S54" s="75"/>
      <c r="T54" s="75"/>
      <c r="U54" s="118"/>
      <c r="V54" s="119"/>
      <c r="X54" s="75"/>
      <c r="Y54" s="75"/>
      <c r="Z54" s="75"/>
      <c r="AA54" s="75"/>
      <c r="AB54" s="75"/>
      <c r="AC54" s="75"/>
      <c r="AD54" s="75"/>
      <c r="AE54" s="118"/>
      <c r="AF54" s="119"/>
      <c r="AH54" s="75"/>
      <c r="AI54" s="75"/>
      <c r="AJ54" s="75"/>
      <c r="AK54" s="75"/>
      <c r="AL54" s="75"/>
      <c r="AM54" s="75"/>
      <c r="AN54" s="75"/>
    </row>
    <row r="55" spans="3:40" ht="12.75">
      <c r="C55" s="75"/>
      <c r="D55" s="75"/>
      <c r="E55" s="75"/>
      <c r="F55" s="75"/>
      <c r="G55" s="75"/>
      <c r="H55" s="75"/>
      <c r="I55" s="75"/>
      <c r="J55" s="75"/>
      <c r="K55" s="118"/>
      <c r="L55" s="119"/>
      <c r="N55" s="75"/>
      <c r="O55" s="75"/>
      <c r="P55" s="75"/>
      <c r="Q55" s="75"/>
      <c r="R55" s="75"/>
      <c r="S55" s="75"/>
      <c r="T55" s="75"/>
      <c r="U55" s="118"/>
      <c r="V55" s="119"/>
      <c r="X55" s="75"/>
      <c r="Y55" s="75"/>
      <c r="Z55" s="75"/>
      <c r="AA55" s="75"/>
      <c r="AB55" s="75"/>
      <c r="AC55" s="75"/>
      <c r="AD55" s="75"/>
      <c r="AE55" s="118"/>
      <c r="AF55" s="119"/>
      <c r="AH55" s="75"/>
      <c r="AI55" s="75"/>
      <c r="AJ55" s="75"/>
      <c r="AK55" s="75"/>
      <c r="AL55" s="75"/>
      <c r="AM55" s="75"/>
      <c r="AN55" s="75"/>
    </row>
    <row r="56" spans="3:40" ht="12.75">
      <c r="C56" s="75"/>
      <c r="D56" s="75"/>
      <c r="E56" s="75"/>
      <c r="F56" s="75"/>
      <c r="G56" s="75"/>
      <c r="H56" s="75"/>
      <c r="I56" s="75"/>
      <c r="J56" s="75"/>
      <c r="K56" s="118"/>
      <c r="L56" s="119"/>
      <c r="N56" s="75"/>
      <c r="O56" s="75"/>
      <c r="P56" s="75"/>
      <c r="Q56" s="75"/>
      <c r="R56" s="75"/>
      <c r="S56" s="75"/>
      <c r="T56" s="75"/>
      <c r="U56" s="118"/>
      <c r="V56" s="119"/>
      <c r="X56" s="75"/>
      <c r="Y56" s="75"/>
      <c r="Z56" s="75"/>
      <c r="AA56" s="75"/>
      <c r="AB56" s="75"/>
      <c r="AC56" s="75"/>
      <c r="AD56" s="75"/>
      <c r="AE56" s="118"/>
      <c r="AF56" s="119"/>
      <c r="AH56" s="75"/>
      <c r="AI56" s="75"/>
      <c r="AJ56" s="75"/>
      <c r="AK56" s="75"/>
      <c r="AL56" s="75"/>
      <c r="AM56" s="75"/>
      <c r="AN56" s="75"/>
    </row>
  </sheetData>
  <sheetProtection algorithmName="SHA-512" hashValue="Dx9t7MxaSt/cDhyqey7ReG8PJt4Hlmk7OHcWgMBPjBoNqzfxTkGct5vMCujgusx3cscoSgWB7j6sfjEspk8rPQ==" saltValue="i88hVf5tgj3SNhZystinmg==" spinCount="100000" sheet="1" objects="1" scenarios="1" selectLockedCells="1"/>
  <mergeCells count="25">
    <mergeCell ref="AT25:AU25"/>
    <mergeCell ref="AT26:AU26"/>
    <mergeCell ref="AT27:AU27"/>
    <mergeCell ref="D38:J38"/>
    <mergeCell ref="N38:T38"/>
    <mergeCell ref="X38:AD38"/>
    <mergeCell ref="AH38:AN38"/>
    <mergeCell ref="AT19:AU19"/>
    <mergeCell ref="AT20:AU20"/>
    <mergeCell ref="D21:J21"/>
    <mergeCell ref="N21:T21"/>
    <mergeCell ref="X21:AD21"/>
    <mergeCell ref="AH21:AN21"/>
    <mergeCell ref="AT18:AU18"/>
    <mergeCell ref="I1:T1"/>
    <mergeCell ref="AD1:AN1"/>
    <mergeCell ref="D4:J4"/>
    <mergeCell ref="N4:T4"/>
    <mergeCell ref="X4:AD4"/>
    <mergeCell ref="AH4:AN4"/>
    <mergeCell ref="AT12:AU12"/>
    <mergeCell ref="AT13:AU13"/>
    <mergeCell ref="AT14:AU14"/>
    <mergeCell ref="AT15:AU15"/>
    <mergeCell ref="AT17:AU17"/>
  </mergeCells>
  <conditionalFormatting sqref="AW10">
    <cfRule type="cellIs" priority="12" dxfId="3" operator="greaterThanOrEqual">
      <formula>10</formula>
    </cfRule>
    <cfRule type="cellIs" priority="13" dxfId="2" operator="between">
      <formula>8</formula>
      <formula>9.5</formula>
    </cfRule>
    <cfRule type="cellIs" priority="14" dxfId="12" operator="between">
      <formula>6</formula>
      <formula>7.5</formula>
    </cfRule>
    <cfRule type="cellIs" priority="15" dxfId="11" operator="between">
      <formula>4</formula>
      <formula>5.5</formula>
    </cfRule>
  </conditionalFormatting>
  <conditionalFormatting sqref="AR19">
    <cfRule type="cellIs" priority="8" dxfId="3" operator="greaterThanOrEqual">
      <formula>15</formula>
    </cfRule>
    <cfRule type="cellIs" priority="9" dxfId="2" operator="between">
      <formula>12</formula>
      <formula>14.5</formula>
    </cfRule>
    <cfRule type="cellIs" priority="10" dxfId="1" operator="between">
      <formula>9</formula>
      <formula>11.5</formula>
    </cfRule>
    <cfRule type="cellIs" priority="11" dxfId="0" operator="between">
      <formula>6</formula>
      <formula>8.5</formula>
    </cfRule>
  </conditionalFormatting>
  <conditionalFormatting sqref="AR26">
    <cfRule type="cellIs" priority="5" dxfId="3" operator="equal">
      <formula>$AS$27</formula>
    </cfRule>
    <cfRule type="cellIs" priority="6" dxfId="2" operator="equal">
      <formula>$AS$26</formula>
    </cfRule>
    <cfRule type="cellIs" priority="7" dxfId="1" operator="equal">
      <formula>$AS$25</formula>
    </cfRule>
  </conditionalFormatting>
  <conditionalFormatting sqref="AR13">
    <cfRule type="cellIs" priority="1" dxfId="3" operator="greaterThanOrEqual">
      <formula>10</formula>
    </cfRule>
    <cfRule type="cellIs" priority="2" dxfId="2" operator="between">
      <formula>8</formula>
      <formula>9.5</formula>
    </cfRule>
    <cfRule type="cellIs" priority="3" dxfId="1" operator="between">
      <formula>6</formula>
      <formula>7.5</formula>
    </cfRule>
    <cfRule type="cellIs" priority="4" dxfId="0" operator="between">
      <formula>4</formula>
      <formula>5.5</formula>
    </cfRule>
  </conditionalFormatting>
  <dataValidations count="5">
    <dataValidation type="list" allowBlank="1" showInputMessage="1" showErrorMessage="1" sqref="A12:B12">
      <formula1>$AZ$4:$AZ$34</formula1>
    </dataValidation>
    <dataValidation type="list" allowBlank="1" showInputMessage="1" showErrorMessage="1" sqref="AH15:AN15 AH13:AN13 X17:AD17 D9:J9 D11:J11 D13:J13 N24:T24 D24:J24 D26:J26 D32:J32 D30:J30 D41:J41 D43:J43 D45:J45 D47:J47 D51:J51 N51:T51 D49:J49 N49:T49 N47:T47 N45:T45 N43:T43 X34:AD34 N30:T30 N28:T28 N26:T26 N13:T13 N11:T11 N9:T9 N7:T7 D15:J15 X9:AD9 X11:AD11 X13:AD13 X15:AC15 D7:J7 AH24:AN24 X24:AD24 X26:AD26 X32:AD32 N41:T41 X41:AD41 X43:AD43 X45:AD45 X47:AD47 AH47:AN47 AH45:AN45 AH43:AN43 AH41:AN41 X49:AD49 AH34:AN34 AH30:AN30 AH28:AN28 AH26:AN26 AH17:AN17 AH11:AN11 AH9:AN9 AH7:AN7 X7:AD7 X51:AD51 AH51:AN51 N17:T17 D28:J28 N34:T34 N32:T32 X28:AD28 X30:AD30 D17:J17 AH32:AN32 N15:T15 AH49:AN49">
      <formula1>$AS$5:$AX$5</formula1>
    </dataValidation>
    <dataValidation type="list" allowBlank="1" showInputMessage="1" showErrorMessage="1" sqref="A7:B7">
      <formula1>$AZ$4:$AZ$24</formula1>
    </dataValidation>
    <dataValidation type="list" allowBlank="1" showInputMessage="1" showErrorMessage="1" sqref="K7:L7 K9:L9 K11:L11 K13:L13">
      <formula1>$AS$5:$AU$5</formula1>
    </dataValidation>
    <dataValidation type="whole" allowBlank="1" showInputMessage="1" showErrorMessage="1" sqref="A1:C3">
      <formula1>1900</formula1>
      <formula2>9999</formula2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scale="5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showGridLines="0" workbookViewId="0" topLeftCell="A1">
      <selection activeCell="D28" sqref="D28"/>
    </sheetView>
  </sheetViews>
  <sheetFormatPr defaultColWidth="9.140625" defaultRowHeight="12.75"/>
  <cols>
    <col min="1" max="1" width="15.421875" style="2" bestFit="1" customWidth="1"/>
    <col min="2" max="2" width="1.7109375" style="73" customWidth="1"/>
    <col min="3" max="5" width="3.7109375" style="2" customWidth="1"/>
    <col min="6" max="6" width="3.57421875" style="2" customWidth="1"/>
    <col min="7" max="10" width="3.7109375" style="2" customWidth="1"/>
    <col min="11" max="11" width="5.7109375" style="72" customWidth="1"/>
    <col min="12" max="12" width="1.7109375" style="73" customWidth="1"/>
    <col min="13" max="20" width="3.7109375" style="2" customWidth="1"/>
    <col min="21" max="21" width="5.7109375" style="72" customWidth="1"/>
    <col min="22" max="22" width="1.7109375" style="73" customWidth="1"/>
    <col min="23" max="30" width="3.7109375" style="2" customWidth="1"/>
    <col min="31" max="31" width="5.7109375" style="72" customWidth="1"/>
    <col min="32" max="32" width="1.7109375" style="73" customWidth="1"/>
    <col min="33" max="40" width="3.7109375" style="2" customWidth="1"/>
    <col min="41" max="41" width="5.7109375" style="42" customWidth="1"/>
    <col min="42" max="42" width="1.7109375" style="2" customWidth="1"/>
    <col min="43" max="43" width="3.7109375" style="2" customWidth="1"/>
    <col min="44" max="44" width="17.421875" style="2" customWidth="1"/>
    <col min="45" max="45" width="9.00390625" style="2" customWidth="1"/>
    <col min="46" max="46" width="6.421875" style="2" customWidth="1"/>
    <col min="47" max="47" width="7.7109375" style="2" customWidth="1"/>
    <col min="48" max="48" width="14.28125" style="2" customWidth="1"/>
    <col min="49" max="49" width="9.140625" style="2" customWidth="1"/>
    <col min="50" max="50" width="9.8515625" style="2" customWidth="1"/>
    <col min="51" max="51" width="9.140625" style="2" customWidth="1"/>
    <col min="52" max="52" width="9.140625" style="2" hidden="1" customWidth="1"/>
    <col min="53" max="16384" width="9.140625" style="2" customWidth="1"/>
  </cols>
  <sheetData>
    <row r="1" spans="1:40" ht="26.25">
      <c r="A1" s="92">
        <v>2017</v>
      </c>
      <c r="B1" s="56"/>
      <c r="D1" s="93"/>
      <c r="E1" s="93"/>
      <c r="F1" s="94" t="s">
        <v>25</v>
      </c>
      <c r="G1" s="95"/>
      <c r="H1" s="95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98"/>
      <c r="V1" s="89"/>
      <c r="W1" s="93"/>
      <c r="X1" s="93"/>
      <c r="Y1" s="94" t="s">
        <v>41</v>
      </c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</row>
    <row r="2" spans="1:40" ht="5.25" customHeight="1" thickBot="1">
      <c r="A2" s="92"/>
      <c r="B2" s="56"/>
      <c r="D2" s="93"/>
      <c r="E2" s="93"/>
      <c r="F2" s="94"/>
      <c r="G2" s="95"/>
      <c r="H2" s="95"/>
      <c r="I2" s="96"/>
      <c r="J2" s="96"/>
      <c r="K2" s="97"/>
      <c r="L2" s="97"/>
      <c r="M2" s="97"/>
      <c r="N2" s="96"/>
      <c r="O2" s="96"/>
      <c r="P2" s="96"/>
      <c r="Q2" s="96"/>
      <c r="R2" s="96"/>
      <c r="S2" s="96"/>
      <c r="T2" s="96"/>
      <c r="U2" s="98"/>
      <c r="V2" s="89"/>
      <c r="W2" s="93"/>
      <c r="X2" s="93"/>
      <c r="Y2" s="94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50" ht="15.95" customHeight="1" thickTop="1">
      <c r="A3" s="92"/>
      <c r="B3" s="56"/>
      <c r="C3" s="57"/>
      <c r="D3" s="100"/>
      <c r="E3" s="100"/>
      <c r="F3" s="101"/>
      <c r="G3" s="100"/>
      <c r="H3" s="100"/>
      <c r="I3" s="102"/>
      <c r="J3" s="102"/>
      <c r="K3" s="76"/>
      <c r="L3" s="77"/>
      <c r="M3" s="78"/>
      <c r="N3" s="102"/>
      <c r="O3" s="102"/>
      <c r="P3" s="102"/>
      <c r="Q3" s="102"/>
      <c r="R3" s="102"/>
      <c r="S3" s="102"/>
      <c r="T3" s="102"/>
      <c r="U3" s="76"/>
      <c r="V3" s="89"/>
      <c r="W3" s="78"/>
      <c r="X3" s="100"/>
      <c r="Y3" s="100"/>
      <c r="Z3" s="103"/>
      <c r="AA3" s="103"/>
      <c r="AB3" s="103"/>
      <c r="AC3" s="103"/>
      <c r="AD3" s="103"/>
      <c r="AE3" s="90"/>
      <c r="AG3" s="57"/>
      <c r="AH3" s="103"/>
      <c r="AI3" s="103"/>
      <c r="AJ3" s="103"/>
      <c r="AK3" s="103"/>
      <c r="AL3" s="103"/>
      <c r="AM3" s="103"/>
      <c r="AN3" s="103"/>
      <c r="AO3" s="104"/>
      <c r="AR3" s="35" t="s">
        <v>34</v>
      </c>
      <c r="AS3" s="35" t="s">
        <v>47</v>
      </c>
      <c r="AT3" s="35"/>
      <c r="AU3" s="37"/>
      <c r="AV3" s="37" t="s">
        <v>19</v>
      </c>
      <c r="AW3" s="35"/>
      <c r="AX3" s="35" t="s">
        <v>49</v>
      </c>
    </row>
    <row r="4" spans="1:52" ht="15.95" customHeight="1">
      <c r="A4" s="105" t="s">
        <v>24</v>
      </c>
      <c r="B4" s="58"/>
      <c r="C4" s="59"/>
      <c r="D4" s="136" t="s">
        <v>5</v>
      </c>
      <c r="E4" s="137"/>
      <c r="F4" s="137"/>
      <c r="G4" s="137"/>
      <c r="H4" s="137"/>
      <c r="I4" s="138"/>
      <c r="J4" s="139"/>
      <c r="K4" s="79"/>
      <c r="L4" s="80"/>
      <c r="M4" s="59"/>
      <c r="N4" s="140" t="s">
        <v>8</v>
      </c>
      <c r="O4" s="138"/>
      <c r="P4" s="138"/>
      <c r="Q4" s="138"/>
      <c r="R4" s="138"/>
      <c r="S4" s="138"/>
      <c r="T4" s="139"/>
      <c r="U4" s="79"/>
      <c r="V4" s="80"/>
      <c r="W4" s="59"/>
      <c r="X4" s="136" t="s">
        <v>11</v>
      </c>
      <c r="Y4" s="137"/>
      <c r="Z4" s="137"/>
      <c r="AA4" s="137"/>
      <c r="AB4" s="137"/>
      <c r="AC4" s="137"/>
      <c r="AD4" s="143"/>
      <c r="AE4" s="79"/>
      <c r="AF4" s="80"/>
      <c r="AG4" s="59"/>
      <c r="AH4" s="136" t="s">
        <v>13</v>
      </c>
      <c r="AI4" s="137"/>
      <c r="AJ4" s="137"/>
      <c r="AK4" s="137"/>
      <c r="AL4" s="137"/>
      <c r="AM4" s="137"/>
      <c r="AN4" s="143"/>
      <c r="AO4" s="43"/>
      <c r="AR4" s="36"/>
      <c r="AS4" s="36" t="s">
        <v>46</v>
      </c>
      <c r="AT4" s="36" t="s">
        <v>18</v>
      </c>
      <c r="AU4" s="38" t="s">
        <v>19</v>
      </c>
      <c r="AV4" s="38" t="s">
        <v>48</v>
      </c>
      <c r="AW4" s="36" t="s">
        <v>26</v>
      </c>
      <c r="AX4" s="36" t="s">
        <v>50</v>
      </c>
      <c r="AZ4" s="18">
        <v>0</v>
      </c>
    </row>
    <row r="5" spans="1:52" s="3" customFormat="1" ht="15.95" customHeight="1">
      <c r="A5" s="106" t="s">
        <v>36</v>
      </c>
      <c r="B5" s="58"/>
      <c r="C5" s="60"/>
      <c r="D5" s="107" t="s">
        <v>0</v>
      </c>
      <c r="E5" s="107" t="s">
        <v>1</v>
      </c>
      <c r="F5" s="107" t="s">
        <v>2</v>
      </c>
      <c r="G5" s="107" t="s">
        <v>3</v>
      </c>
      <c r="H5" s="107" t="s">
        <v>2</v>
      </c>
      <c r="I5" s="107" t="s">
        <v>4</v>
      </c>
      <c r="J5" s="107" t="s">
        <v>0</v>
      </c>
      <c r="K5" s="81"/>
      <c r="L5" s="82"/>
      <c r="M5" s="60"/>
      <c r="N5" s="107" t="s">
        <v>0</v>
      </c>
      <c r="O5" s="107" t="s">
        <v>1</v>
      </c>
      <c r="P5" s="107" t="s">
        <v>2</v>
      </c>
      <c r="Q5" s="107" t="s">
        <v>3</v>
      </c>
      <c r="R5" s="107" t="s">
        <v>2</v>
      </c>
      <c r="S5" s="107" t="s">
        <v>4</v>
      </c>
      <c r="T5" s="107" t="s">
        <v>0</v>
      </c>
      <c r="U5" s="81"/>
      <c r="V5" s="82"/>
      <c r="W5" s="60"/>
      <c r="X5" s="107" t="s">
        <v>0</v>
      </c>
      <c r="Y5" s="107" t="s">
        <v>1</v>
      </c>
      <c r="Z5" s="107" t="s">
        <v>2</v>
      </c>
      <c r="AA5" s="107" t="s">
        <v>3</v>
      </c>
      <c r="AB5" s="107" t="s">
        <v>2</v>
      </c>
      <c r="AC5" s="107" t="s">
        <v>4</v>
      </c>
      <c r="AD5" s="107" t="s">
        <v>0</v>
      </c>
      <c r="AE5" s="81"/>
      <c r="AF5" s="82"/>
      <c r="AG5" s="60"/>
      <c r="AH5" s="107" t="s">
        <v>0</v>
      </c>
      <c r="AI5" s="107" t="s">
        <v>1</v>
      </c>
      <c r="AJ5" s="107" t="s">
        <v>2</v>
      </c>
      <c r="AK5" s="107" t="s">
        <v>3</v>
      </c>
      <c r="AL5" s="107" t="s">
        <v>2</v>
      </c>
      <c r="AM5" s="107" t="s">
        <v>4</v>
      </c>
      <c r="AN5" s="107" t="s">
        <v>0</v>
      </c>
      <c r="AO5" s="44"/>
      <c r="AR5" s="19" t="s">
        <v>33</v>
      </c>
      <c r="AS5" s="4" t="s">
        <v>20</v>
      </c>
      <c r="AT5" s="4" t="s">
        <v>2</v>
      </c>
      <c r="AU5" s="4" t="s">
        <v>22</v>
      </c>
      <c r="AV5" s="4" t="s">
        <v>35</v>
      </c>
      <c r="AW5" s="4" t="s">
        <v>31</v>
      </c>
      <c r="AX5" s="4" t="s">
        <v>39</v>
      </c>
      <c r="AZ5" s="6">
        <v>0.5</v>
      </c>
    </row>
    <row r="6" spans="1:52" s="3" customFormat="1" ht="15.95" customHeight="1">
      <c r="A6" s="108" t="s">
        <v>45</v>
      </c>
      <c r="B6" s="58"/>
      <c r="C6" s="60"/>
      <c r="D6" s="51" t="str">
        <f>IF(AND(YEAR(JanSun1)=$A$1,MONTH(JanSun1)=1),JanSun1,"")</f>
        <v/>
      </c>
      <c r="E6" s="51" t="str">
        <f>IF(AND(YEAR(JanSun1+1)=$A$1,MONTH(JanSun1+1)=1),JanSun1+1,"")</f>
        <v/>
      </c>
      <c r="F6" s="51" t="str">
        <f>IF(AND(YEAR(JanSun1+2)=$A$1,MONTH(JanSun1+2)=1),JanSun1+2,"")</f>
        <v/>
      </c>
      <c r="G6" s="51" t="str">
        <f>IF(AND(YEAR(JanSun1+3)=$A$1,MONTH(JanSun1+3)=1),JanSun1+3,"")</f>
        <v/>
      </c>
      <c r="H6" s="51" t="str">
        <f>IF(AND(YEAR(JanSun1+4)=$A$1,MONTH(JanSun1+4)=1),JanSun1+4,"")</f>
        <v/>
      </c>
      <c r="I6" s="51">
        <f>IF(AND(YEAR(JanSun1+5)=$A$1,MONTH(JanSun1+5)=1),JanSun1+5,"")</f>
        <v>42370</v>
      </c>
      <c r="J6" s="51">
        <f>IF(AND(YEAR(JanSun1+6)=$A$1,MONTH(JanSun1+6)=1),JanSun1+6,"")</f>
        <v>42371</v>
      </c>
      <c r="K6" s="49"/>
      <c r="L6" s="16"/>
      <c r="M6" s="60"/>
      <c r="N6" s="51" t="str">
        <f>IF(AND(YEAR(AprSun1)=$A$1,MONTH(AprSun1)=4),AprSun1,"")</f>
        <v/>
      </c>
      <c r="O6" s="51" t="str">
        <f>IF(AND(YEAR(AprSun1+1)=$A$1,MONTH(AprSun1+1)=4),AprSun1+1,"")</f>
        <v/>
      </c>
      <c r="P6" s="51" t="str">
        <f>IF(AND(YEAR(AprSun1+2)=$A$1,MONTH(AprSun1+2)=4),AprSun1+2,"")</f>
        <v/>
      </c>
      <c r="Q6" s="51" t="str">
        <f>IF(AND(YEAR(AprSun1+3)=$A$1,MONTH(AprSun1+3)=4),AprSun1+3,"")</f>
        <v/>
      </c>
      <c r="R6" s="51" t="str">
        <f>IF(AND(YEAR(AprSun1+4)=$A$1,MONTH(AprSun1+4)=4),AprSun1+4,"")</f>
        <v/>
      </c>
      <c r="S6" s="51">
        <f>IF(AND(YEAR(AprSun1+5)=$A$1,MONTH(AprSun1+5)=4),AprSun1+5,"")</f>
        <v>42461</v>
      </c>
      <c r="T6" s="51">
        <f>IF(AND(YEAR(AprSun1+6)=$A$1,MONTH(AprSun1+6)=4),AprSun1+6,"")</f>
        <v>42462</v>
      </c>
      <c r="U6" s="49"/>
      <c r="V6" s="16"/>
      <c r="W6" s="60"/>
      <c r="X6" s="51" t="str">
        <f>IF(AND(YEAR(JulSun1)=$A$1,MONTH(JulSun1)=7),JulSun1,"")</f>
        <v/>
      </c>
      <c r="Y6" s="51" t="str">
        <f>IF(AND(YEAR(JulSun1+1)=$A$1,MONTH(JulSun1+1)=7),JulSun1+1,"")</f>
        <v/>
      </c>
      <c r="Z6" s="51" t="str">
        <f>IF(AND(YEAR(JulSun1+2)=$A$1,MONTH(JulSun1+2)=7),JulSun1+2,"")</f>
        <v/>
      </c>
      <c r="AA6" s="51" t="str">
        <f>IF(AND(YEAR(JulSun1+3)=$A$1,MONTH(JulSun1+3)=7),JulSun1+3,"")</f>
        <v/>
      </c>
      <c r="AB6" s="51" t="str">
        <f>IF(AND(YEAR(JulSun1+4)=$A$1,MONTH(JulSun1+4)=7),JulSun1+4,"")</f>
        <v/>
      </c>
      <c r="AC6" s="51">
        <f>IF(AND(YEAR(JulSun1+5)=$A$1,MONTH(JulSun1+5)=7),JulSun1+5,"")</f>
        <v>42552</v>
      </c>
      <c r="AD6" s="51">
        <f>IF(AND(YEAR(JulSun1+6)=$A$1,MONTH(JulSun1+6)=7),JulSun1+6,"")</f>
        <v>42553</v>
      </c>
      <c r="AE6" s="49"/>
      <c r="AF6" s="16"/>
      <c r="AG6" s="60"/>
      <c r="AH6" s="51" t="str">
        <f>IF(AND(YEAR(OctSun1)=$A$1,MONTH(OctSun1)=10),OctSun1,"")</f>
        <v/>
      </c>
      <c r="AI6" s="51" t="str">
        <f>IF(AND(YEAR(OctSun1+1)=$A$1,MONTH(OctSun1+1)=10),OctSun1+1,"")</f>
        <v/>
      </c>
      <c r="AJ6" s="51" t="str">
        <f>IF(AND(YEAR(OctSun1+2)=$A$1,MONTH(OctSun1+2)=10),OctSun1+2,"")</f>
        <v/>
      </c>
      <c r="AK6" s="51" t="str">
        <f>IF(AND(YEAR(OctSun1+3)=$A$1,MONTH(OctSun1+3)=10),OctSun1+3,"")</f>
        <v/>
      </c>
      <c r="AL6" s="51" t="str">
        <f>IF(AND(YEAR(OctSun1+4)=$A$1,MONTH(OctSun1+4)=10),OctSun1+4,"")</f>
        <v/>
      </c>
      <c r="AM6" s="51" t="str">
        <f>IF(AND(YEAR(OctSun1+5)=$A$1,MONTH(OctSun1+5)=10),OctSun1+5,"")</f>
        <v/>
      </c>
      <c r="AN6" s="51">
        <f>IF(AND(YEAR(OctSun1+6)=$A$1,MONTH(OctSun1+6)=10),OctSun1+6,"")</f>
        <v>42644</v>
      </c>
      <c r="AO6" s="44"/>
      <c r="AR6" s="19" t="s">
        <v>24</v>
      </c>
      <c r="AS6" s="4">
        <v>0.5</v>
      </c>
      <c r="AT6" s="4">
        <v>0.5</v>
      </c>
      <c r="AU6" s="4">
        <v>1</v>
      </c>
      <c r="AV6" s="4">
        <v>0</v>
      </c>
      <c r="AW6" s="4">
        <v>0</v>
      </c>
      <c r="AX6" s="5" t="s">
        <v>42</v>
      </c>
      <c r="AZ6" s="6">
        <v>1</v>
      </c>
    </row>
    <row r="7" spans="1:52" s="6" customFormat="1" ht="15.95" customHeight="1">
      <c r="A7" s="1">
        <v>0</v>
      </c>
      <c r="B7" s="61"/>
      <c r="C7" s="62"/>
      <c r="D7" s="53"/>
      <c r="E7" s="53"/>
      <c r="F7" s="53"/>
      <c r="G7" s="53"/>
      <c r="H7" s="52"/>
      <c r="I7" s="52"/>
      <c r="J7" s="52"/>
      <c r="K7" s="83"/>
      <c r="L7" s="84"/>
      <c r="M7" s="62"/>
      <c r="N7" s="53"/>
      <c r="O7" s="53"/>
      <c r="P7" s="53"/>
      <c r="Q7" s="52"/>
      <c r="R7" s="52"/>
      <c r="S7" s="52"/>
      <c r="T7" s="52"/>
      <c r="U7" s="83"/>
      <c r="V7" s="84"/>
      <c r="W7" s="62"/>
      <c r="X7" s="53"/>
      <c r="Y7" s="53"/>
      <c r="Z7" s="53"/>
      <c r="AA7" s="52"/>
      <c r="AB7" s="52"/>
      <c r="AC7" s="52"/>
      <c r="AD7" s="52"/>
      <c r="AE7" s="83"/>
      <c r="AF7" s="84"/>
      <c r="AG7" s="62"/>
      <c r="AH7" s="53"/>
      <c r="AI7" s="53"/>
      <c r="AJ7" s="53"/>
      <c r="AK7" s="53"/>
      <c r="AL7" s="52"/>
      <c r="AM7" s="52"/>
      <c r="AN7" s="52"/>
      <c r="AO7" s="45"/>
      <c r="AZ7" s="6">
        <v>1.5</v>
      </c>
    </row>
    <row r="8" spans="2:52" s="3" customFormat="1" ht="15.95" customHeight="1">
      <c r="B8" s="63"/>
      <c r="C8" s="60"/>
      <c r="D8" s="51">
        <f>IF(AND(YEAR(JanSun1+7)=$A$1,MONTH(JanSun1+7)=1),JanSun1+7,"")</f>
        <v>42372</v>
      </c>
      <c r="E8" s="51">
        <f>IF(AND(YEAR(JanSun1+8)=$A$1,MONTH(JanSun1+8)=1),JanSun1+8,"")</f>
        <v>42373</v>
      </c>
      <c r="F8" s="51">
        <f>IF(AND(YEAR(JanSun1+9)=$A$1,MONTH(JanSun1+9)=1),JanSun1+9,"")</f>
        <v>42374</v>
      </c>
      <c r="G8" s="51">
        <f>IF(AND(YEAR(JanSun1+10)=$A$1,MONTH(JanSun1+10)=1),JanSun1+10,"")</f>
        <v>42375</v>
      </c>
      <c r="H8" s="51">
        <f>IF(AND(YEAR(JanSun1+11)=$A$1,MONTH(JanSun1+11)=1),JanSun1+11,"")</f>
        <v>42376</v>
      </c>
      <c r="I8" s="51">
        <f>IF(AND(YEAR(JanSun1+12)=$A$1,MONTH(JanSun1+12)=1),JanSun1+12,"")</f>
        <v>42377</v>
      </c>
      <c r="J8" s="51">
        <f>IF(AND(YEAR(JanSun1+13)=$A$1,MONTH(JanSun1+13)=1),JanSun1+13,"")</f>
        <v>42378</v>
      </c>
      <c r="K8" s="49"/>
      <c r="L8" s="16"/>
      <c r="M8" s="60"/>
      <c r="N8" s="51">
        <f>IF(AND(YEAR(AprSun1+7)=$A$1,MONTH(AprSun1+7)=4),AprSun1+7,"")</f>
        <v>42463</v>
      </c>
      <c r="O8" s="51">
        <f>IF(AND(YEAR(AprSun1+8)=$A$1,MONTH(AprSun1+8)=4),AprSun1+8,"")</f>
        <v>42464</v>
      </c>
      <c r="P8" s="51">
        <f>IF(AND(YEAR(AprSun1+9)=$A$1,MONTH(AprSun1+9)=4),AprSun1+9,"")</f>
        <v>42465</v>
      </c>
      <c r="Q8" s="51">
        <f>IF(AND(YEAR(AprSun1+10)=$A$1,MONTH(AprSun1+10)=4),AprSun1+10,"")</f>
        <v>42466</v>
      </c>
      <c r="R8" s="51">
        <f>IF(AND(YEAR(AprSun1+11)=$A$1,MONTH(AprSun1+11)=4),AprSun1+11,"")</f>
        <v>42467</v>
      </c>
      <c r="S8" s="51">
        <f>IF(AND(YEAR(AprSun1+12)=$A$1,MONTH(AprSun1+12)=4),AprSun1+12,"")</f>
        <v>42468</v>
      </c>
      <c r="T8" s="51">
        <f>IF(AND(YEAR(AprSun1+13)=$A$1,MONTH(AprSun1+13)=4),AprSun1+13,"")</f>
        <v>42469</v>
      </c>
      <c r="U8" s="49"/>
      <c r="V8" s="16"/>
      <c r="W8" s="60"/>
      <c r="X8" s="51">
        <f>IF(AND(YEAR(JulSun1+7)=$A$1,MONTH(JulSun1+7)=7),JulSun1+7,"")</f>
        <v>42554</v>
      </c>
      <c r="Y8" s="51">
        <f>IF(AND(YEAR(JulSun1+8)=$A$1,MONTH(JulSun1+8)=7),JulSun1+8,"")</f>
        <v>42555</v>
      </c>
      <c r="Z8" s="51">
        <f>IF(AND(YEAR(JulSun1+9)=$A$1,MONTH(JulSun1+9)=7),JulSun1+9,"")</f>
        <v>42556</v>
      </c>
      <c r="AA8" s="51">
        <f>IF(AND(YEAR(JulSun1+10)=$A$1,MONTH(JulSun1+10)=7),JulSun1+10,"")</f>
        <v>42557</v>
      </c>
      <c r="AB8" s="51">
        <f>IF(AND(YEAR(JulSun1+11)=$A$1,MONTH(JulSun1+11)=7),JulSun1+11,"")</f>
        <v>42558</v>
      </c>
      <c r="AC8" s="51">
        <f>IF(AND(YEAR(JulSun1+12)=$A$1,MONTH(JulSun1+12)=7),JulSun1+12,"")</f>
        <v>42559</v>
      </c>
      <c r="AD8" s="51">
        <f>IF(AND(YEAR(JulSun1+13)=$A$1,MONTH(JulSun1+13)=7),JulSun1+13,"")</f>
        <v>42560</v>
      </c>
      <c r="AE8" s="49"/>
      <c r="AF8" s="16"/>
      <c r="AG8" s="60"/>
      <c r="AH8" s="51">
        <f>IF(AND(YEAR(OctSun1+7)=$A$1,MONTH(OctSun1+7)=10),OctSun1+7,"")</f>
        <v>42645</v>
      </c>
      <c r="AI8" s="51">
        <f>IF(AND(YEAR(OctSun1+8)=$A$1,MONTH(OctSun1+8)=10),OctSun1+8,"")</f>
        <v>42646</v>
      </c>
      <c r="AJ8" s="51">
        <f>IF(AND(YEAR(OctSun1+9)=$A$1,MONTH(OctSun1+9)=10),OctSun1+9,"")</f>
        <v>42647</v>
      </c>
      <c r="AK8" s="51">
        <f>IF(AND(YEAR(OctSun1+10)=$A$1,MONTH(OctSun1+10)=10),OctSun1+10,"")</f>
        <v>42648</v>
      </c>
      <c r="AL8" s="51">
        <f>IF(AND(YEAR(OctSun1+11)=$A$1,MONTH(OctSun1+11)=10),OctSun1+11,"")</f>
        <v>42649</v>
      </c>
      <c r="AM8" s="51">
        <f>IF(AND(YEAR(OctSun1+12)=$A$1,MONTH(OctSun1+12)=10),OctSun1+12,"")</f>
        <v>42650</v>
      </c>
      <c r="AN8" s="51">
        <f>IF(AND(YEAR(OctSun1+13)=$A$1,MONTH(OctSun1+13)=10),OctSun1+13,"")</f>
        <v>42651</v>
      </c>
      <c r="AO8" s="44"/>
      <c r="AR8" s="19" t="s">
        <v>38</v>
      </c>
      <c r="AS8" s="19">
        <v>2014</v>
      </c>
      <c r="AT8" s="20" t="s">
        <v>18</v>
      </c>
      <c r="AU8" s="19" t="s">
        <v>19</v>
      </c>
      <c r="AV8" s="19" t="s">
        <v>17</v>
      </c>
      <c r="AW8" s="19"/>
      <c r="AZ8" s="6">
        <v>2</v>
      </c>
    </row>
    <row r="9" spans="1:52" s="6" customFormat="1" ht="15.95" customHeight="1" thickBot="1">
      <c r="A9" s="105" t="s">
        <v>43</v>
      </c>
      <c r="B9" s="58"/>
      <c r="C9" s="62"/>
      <c r="D9" s="52"/>
      <c r="E9" s="52"/>
      <c r="F9" s="52"/>
      <c r="G9" s="52"/>
      <c r="H9" s="52"/>
      <c r="I9" s="52"/>
      <c r="J9" s="52"/>
      <c r="K9" s="83"/>
      <c r="L9" s="84"/>
      <c r="M9" s="62"/>
      <c r="N9" s="52"/>
      <c r="O9" s="52"/>
      <c r="P9" s="52"/>
      <c r="Q9" s="52"/>
      <c r="R9" s="52"/>
      <c r="S9" s="52"/>
      <c r="T9" s="52"/>
      <c r="U9" s="83"/>
      <c r="V9" s="84"/>
      <c r="W9" s="62"/>
      <c r="X9" s="52"/>
      <c r="Y9" s="52"/>
      <c r="Z9" s="52"/>
      <c r="AA9" s="52"/>
      <c r="AB9" s="52"/>
      <c r="AC9" s="52"/>
      <c r="AD9" s="52"/>
      <c r="AE9" s="83"/>
      <c r="AF9" s="84"/>
      <c r="AG9" s="62"/>
      <c r="AH9" s="52"/>
      <c r="AI9" s="52"/>
      <c r="AJ9" s="52"/>
      <c r="AK9" s="52"/>
      <c r="AL9" s="52"/>
      <c r="AM9" s="52"/>
      <c r="AN9" s="52"/>
      <c r="AO9" s="45"/>
      <c r="AR9" s="19"/>
      <c r="AS9" s="19" t="s">
        <v>37</v>
      </c>
      <c r="AT9" s="4" t="s">
        <v>2</v>
      </c>
      <c r="AU9" s="4" t="s">
        <v>22</v>
      </c>
      <c r="AV9" s="4" t="s">
        <v>20</v>
      </c>
      <c r="AW9" s="7" t="s">
        <v>23</v>
      </c>
      <c r="AZ9" s="18">
        <v>2.5</v>
      </c>
    </row>
    <row r="10" spans="1:52" s="3" customFormat="1" ht="15.95" customHeight="1" thickBot="1">
      <c r="A10" s="106" t="s">
        <v>36</v>
      </c>
      <c r="B10" s="58"/>
      <c r="C10" s="60"/>
      <c r="D10" s="51">
        <f>IF(AND(YEAR(JanSun1+14)=$A$1,MONTH(JanSun1+14)=1),JanSun1+14,"")</f>
        <v>42379</v>
      </c>
      <c r="E10" s="51">
        <f>IF(AND(YEAR(JanSun1+15)=$A$1,MONTH(JanSun1+15)=1),JanSun1+15,"")</f>
        <v>42380</v>
      </c>
      <c r="F10" s="51">
        <f>IF(AND(YEAR(JanSun1+16)=$A$1,MONTH(JanSun1+16)=1),JanSun1+16,"")</f>
        <v>42381</v>
      </c>
      <c r="G10" s="51">
        <f>IF(AND(YEAR(JanSun1+17)=$A$1,MONTH(JanSun1+17)=1),JanSun1+17,"")</f>
        <v>42382</v>
      </c>
      <c r="H10" s="51">
        <f>IF(AND(YEAR(JanSun1+18)=$A$1,MONTH(JanSun1+18)=1),JanSun1+18,"")</f>
        <v>42383</v>
      </c>
      <c r="I10" s="51">
        <f>IF(AND(YEAR(JanSun1+19)=$A$1,MONTH(JanSun1+19)=1),JanSun1+19,"")</f>
        <v>42384</v>
      </c>
      <c r="J10" s="51">
        <f>IF(AND(YEAR(JanSun1+20)=$A$1,MONTH(JanSun1+20)=1),JanSun1+20,"")</f>
        <v>42385</v>
      </c>
      <c r="K10" s="49"/>
      <c r="L10" s="16"/>
      <c r="M10" s="60"/>
      <c r="N10" s="51">
        <f>IF(AND(YEAR(AprSun1+14)=$A$1,MONTH(AprSun1+14)=4),AprSun1+14,"")</f>
        <v>42470</v>
      </c>
      <c r="O10" s="51">
        <f>IF(AND(YEAR(AprSun1+15)=$A$1,MONTH(AprSun1+15)=4),AprSun1+15,"")</f>
        <v>42471</v>
      </c>
      <c r="P10" s="51">
        <f>IF(AND(YEAR(AprSun1+16)=$A$1,MONTH(AprSun1+16)=4),AprSun1+16,"")</f>
        <v>42472</v>
      </c>
      <c r="Q10" s="51">
        <f>IF(AND(YEAR(AprSun1+17)=$A$1,MONTH(AprSun1+17)=4),AprSun1+17,"")</f>
        <v>42473</v>
      </c>
      <c r="R10" s="51">
        <f>IF(AND(YEAR(AprSun1+18)=$A$1,MONTH(AprSun1+18)=4),AprSun1+18,"")</f>
        <v>42474</v>
      </c>
      <c r="S10" s="51">
        <f>IF(AND(YEAR(AprSun1+19)=$A$1,MONTH(AprSun1+19)=4),AprSun1+19,"")</f>
        <v>42475</v>
      </c>
      <c r="T10" s="51">
        <f>IF(AND(YEAR(AprSun1+20)=$A$1,MONTH(AprSun1+20)=4),AprSun1+20,"")</f>
        <v>42476</v>
      </c>
      <c r="U10" s="49"/>
      <c r="V10" s="16"/>
      <c r="W10" s="60"/>
      <c r="X10" s="51">
        <f>IF(AND(YEAR(JulSun1+14)=$A$1,MONTH(JulSun1+14)=7),JulSun1+14,"")</f>
        <v>42561</v>
      </c>
      <c r="Y10" s="51">
        <f>IF(AND(YEAR(JulSun1+15)=$A$1,MONTH(JulSun1+15)=7),JulSun1+15,"")</f>
        <v>42562</v>
      </c>
      <c r="Z10" s="51">
        <f>IF(AND(YEAR(JulSun1+16)=$A$1,MONTH(JulSun1+16)=7),JulSun1+16,"")</f>
        <v>42563</v>
      </c>
      <c r="AA10" s="51">
        <f>IF(AND(YEAR(JulSun1+17)=$A$1,MONTH(JulSun1+17)=7),JulSun1+17,"")</f>
        <v>42564</v>
      </c>
      <c r="AB10" s="51">
        <f>IF(AND(YEAR(JulSun1+18)=$A$1,MONTH(JulSun1+18)=7),JulSun1+18,"")</f>
        <v>42565</v>
      </c>
      <c r="AC10" s="51">
        <f>IF(AND(YEAR(JulSun1+19)=$A$1,MONTH(JulSun1+19)=7),JulSun1+19,"")</f>
        <v>42566</v>
      </c>
      <c r="AD10" s="51">
        <f>IF(AND(YEAR(JulSun1+20)=$A$1,MONTH(JulSun1+20)=7),JulSun1+20,"")</f>
        <v>42567</v>
      </c>
      <c r="AE10" s="49"/>
      <c r="AF10" s="16"/>
      <c r="AG10" s="60"/>
      <c r="AH10" s="51">
        <f>IF(AND(YEAR(OctSun1+14)=$A$1,MONTH(OctSun1+14)=10),OctSun1+14,"")</f>
        <v>42652</v>
      </c>
      <c r="AI10" s="51">
        <f>IF(AND(YEAR(OctSun1+15)=$A$1,MONTH(OctSun1+15)=10),OctSun1+15,"")</f>
        <v>42653</v>
      </c>
      <c r="AJ10" s="51">
        <f>IF(AND(YEAR(OctSun1+16)=$A$1,MONTH(OctSun1+16)=10),OctSun1+16,"")</f>
        <v>42654</v>
      </c>
      <c r="AK10" s="51">
        <f>IF(AND(YEAR(OctSun1+17)=$A$1,MONTH(OctSun1+17)=10),OctSun1+17,"")</f>
        <v>42655</v>
      </c>
      <c r="AL10" s="51">
        <f>IF(AND(YEAR(OctSun1+18)=$A$1,MONTH(OctSun1+18)=10),OctSun1+18,"")</f>
        <v>42656</v>
      </c>
      <c r="AM10" s="51">
        <f>IF(AND(YEAR(OctSun1+19)=$A$1,MONTH(OctSun1+19)=10),OctSun1+19,"")</f>
        <v>42657</v>
      </c>
      <c r="AN10" s="51">
        <f>IF(AND(YEAR(OctSun1+20)=$A$1,MONTH(OctSun1+20)=10),OctSun1+20,"")</f>
        <v>42658</v>
      </c>
      <c r="AO10" s="44"/>
      <c r="AR10" s="19" t="s">
        <v>24</v>
      </c>
      <c r="AS10" s="19">
        <f>A7</f>
        <v>0</v>
      </c>
      <c r="AT10" s="4">
        <f>F18+F33+F52+P18+P35+P52+Z18+Z35+Z52+AJ18+AJ35+AJ52</f>
        <v>0</v>
      </c>
      <c r="AU10" s="8">
        <f>J18+J33+J52+T52+T35+T18+AD18+AD35+AD52+AN52+AN35+AN18+AR26</f>
        <v>0</v>
      </c>
      <c r="AV10" s="9">
        <f>SUM(H18,H33,H52,R52,R35,R18,AB18,AB35,AB52,AL52,AL35,AL18)</f>
        <v>0</v>
      </c>
      <c r="AW10" s="10">
        <f>AS10+(AT10*0.5)+AU10+(AV10*0.5)</f>
        <v>0</v>
      </c>
      <c r="AZ10" s="6">
        <v>3</v>
      </c>
    </row>
    <row r="11" spans="1:52" s="6" customFormat="1" ht="15.95" customHeight="1">
      <c r="A11" s="108" t="s">
        <v>45</v>
      </c>
      <c r="B11" s="58"/>
      <c r="C11" s="62"/>
      <c r="D11" s="52"/>
      <c r="E11" s="52"/>
      <c r="F11" s="52"/>
      <c r="G11" s="52"/>
      <c r="H11" s="52"/>
      <c r="I11" s="52"/>
      <c r="J11" s="52"/>
      <c r="K11" s="83"/>
      <c r="L11" s="84"/>
      <c r="M11" s="62"/>
      <c r="N11" s="52"/>
      <c r="O11" s="52"/>
      <c r="P11" s="52"/>
      <c r="Q11" s="52"/>
      <c r="R11" s="52"/>
      <c r="S11" s="52"/>
      <c r="T11" s="52"/>
      <c r="U11" s="83"/>
      <c r="V11" s="84"/>
      <c r="W11" s="62"/>
      <c r="X11" s="52"/>
      <c r="Y11" s="52"/>
      <c r="Z11" s="52"/>
      <c r="AA11" s="52"/>
      <c r="AB11" s="52"/>
      <c r="AC11" s="52"/>
      <c r="AD11" s="52"/>
      <c r="AE11" s="83"/>
      <c r="AF11" s="84"/>
      <c r="AG11" s="62"/>
      <c r="AH11" s="52"/>
      <c r="AI11" s="52"/>
      <c r="AJ11" s="52"/>
      <c r="AK11" s="52"/>
      <c r="AL11" s="52"/>
      <c r="AM11" s="52"/>
      <c r="AN11" s="52"/>
      <c r="AO11" s="45"/>
      <c r="AZ11" s="6">
        <v>3.5</v>
      </c>
    </row>
    <row r="12" spans="1:52" s="3" customFormat="1" ht="15.95" customHeight="1">
      <c r="A12" s="1">
        <v>0</v>
      </c>
      <c r="B12" s="61"/>
      <c r="C12" s="60"/>
      <c r="D12" s="51">
        <f>IF(AND(YEAR(JanSun1+21)=$A$1,MONTH(JanSun1+21)=1),JanSun1+21,"")</f>
        <v>42386</v>
      </c>
      <c r="E12" s="51">
        <f>IF(AND(YEAR(JanSun1+22)=$A$1,MONTH(JanSun1+22)=1),JanSun1+22,"")</f>
        <v>42387</v>
      </c>
      <c r="F12" s="51">
        <f>IF(AND(YEAR(JanSun1+23)=$A$1,MONTH(JanSun1+23)=1),JanSun1+23,"")</f>
        <v>42388</v>
      </c>
      <c r="G12" s="51">
        <f>IF(AND(YEAR(JanSun1+24)=$A$1,MONTH(JanSun1+24)=1),JanSun1+24,"")</f>
        <v>42389</v>
      </c>
      <c r="H12" s="51">
        <f>IF(AND(YEAR(JanSun1+25)=$A$1,MONTH(JanSun1+25)=1),JanSun1+25,"")</f>
        <v>42390</v>
      </c>
      <c r="I12" s="51">
        <f>IF(AND(YEAR(JanSun1+26)=$A$1,MONTH(JanSun1+26)=1),JanSun1+26,"")</f>
        <v>42391</v>
      </c>
      <c r="J12" s="51">
        <f>IF(AND(YEAR(JanSun1+27)=$A$1,MONTH(JanSun1+27)=1),JanSun1+27,"")</f>
        <v>42392</v>
      </c>
      <c r="K12" s="49"/>
      <c r="L12" s="16"/>
      <c r="M12" s="60"/>
      <c r="N12" s="51">
        <f>IF(AND(YEAR(AprSun1+21)=$A$1,MONTH(AprSun1+21)=4),AprSun1+21,"")</f>
        <v>42477</v>
      </c>
      <c r="O12" s="51">
        <f>IF(AND(YEAR(AprSun1+22)=$A$1,MONTH(AprSun1+22)=4),AprSun1+22,"")</f>
        <v>42478</v>
      </c>
      <c r="P12" s="51">
        <f>IF(AND(YEAR(AprSun1+23)=$A$1,MONTH(AprSun1+23)=4),AprSun1+23,"")</f>
        <v>42479</v>
      </c>
      <c r="Q12" s="51">
        <f>IF(AND(YEAR(AprSun1+24)=$A$1,MONTH(AprSun1+24)=4),AprSun1+24,"")</f>
        <v>42480</v>
      </c>
      <c r="R12" s="51">
        <f>IF(AND(YEAR(AprSun1+25)=$A$1,MONTH(AprSun1+25)=4),AprSun1+25,"")</f>
        <v>42481</v>
      </c>
      <c r="S12" s="51">
        <f>IF(AND(YEAR(AprSun1+26)=$A$1,MONTH(AprSun1+26)=4),AprSun1+26,"")</f>
        <v>42482</v>
      </c>
      <c r="T12" s="51">
        <f>IF(AND(YEAR(AprSun1+27)=$A$1,MONTH(AprSun1+27)=4),AprSun1+27,"")</f>
        <v>42483</v>
      </c>
      <c r="U12" s="49"/>
      <c r="V12" s="16"/>
      <c r="W12" s="60"/>
      <c r="X12" s="51">
        <f>IF(AND(YEAR(JulSun1+21)=$A$1,MONTH(JulSun1+21)=7),JulSun1+21,"")</f>
        <v>42568</v>
      </c>
      <c r="Y12" s="51">
        <f>IF(AND(YEAR(JulSun1+22)=$A$1,MONTH(JulSun1+22)=7),JulSun1+22,"")</f>
        <v>42569</v>
      </c>
      <c r="Z12" s="51">
        <f>IF(AND(YEAR(JulSun1+23)=$A$1,MONTH(JulSun1+23)=7),JulSun1+23,"")</f>
        <v>42570</v>
      </c>
      <c r="AA12" s="51">
        <f>IF(AND(YEAR(JulSun1+24)=$A$1,MONTH(JulSun1+24)=7),JulSun1+24,"")</f>
        <v>42571</v>
      </c>
      <c r="AB12" s="51">
        <f>IF(AND(YEAR(JulSun1+25)=$A$1,MONTH(JulSun1+25)=7),JulSun1+25,"")</f>
        <v>42572</v>
      </c>
      <c r="AC12" s="51">
        <f>IF(AND(YEAR(JulSun1+26)=$A$1,MONTH(JulSun1+26)=7),JulSun1+26,"")</f>
        <v>42573</v>
      </c>
      <c r="AD12" s="51">
        <f>IF(AND(YEAR(JulSun1+27)=$A$1,MONTH(JulSun1+27)=7),JulSun1+27,"")</f>
        <v>42574</v>
      </c>
      <c r="AE12" s="49"/>
      <c r="AF12" s="16"/>
      <c r="AG12" s="60"/>
      <c r="AH12" s="51">
        <f>IF(AND(YEAR(OctSun1+21)=$A$1,MONTH(OctSun1+21)=10),OctSun1+21,"")</f>
        <v>42659</v>
      </c>
      <c r="AI12" s="51">
        <f>IF(AND(YEAR(OctSun1+22)=$A$1,MONTH(OctSun1+22)=10),OctSun1+22,"")</f>
        <v>42660</v>
      </c>
      <c r="AJ12" s="51">
        <f>IF(AND(YEAR(OctSun1+23)=$A$1,MONTH(OctSun1+23)=10),OctSun1+23,"")</f>
        <v>42661</v>
      </c>
      <c r="AK12" s="51">
        <f>IF(AND(YEAR(OctSun1+24)=$A$1,MONTH(OctSun1+24)=10),OctSun1+24,"")</f>
        <v>42662</v>
      </c>
      <c r="AL12" s="51">
        <f>IF(AND(YEAR(OctSun1+25)=$A$1,MONTH(OctSun1+25)=10),OctSun1+25,"")</f>
        <v>42663</v>
      </c>
      <c r="AM12" s="51">
        <f>IF(AND(YEAR(OctSun1+26)=$A$1,MONTH(OctSun1+26)=10),OctSun1+26,"")</f>
        <v>42664</v>
      </c>
      <c r="AN12" s="51">
        <f>IF(AND(YEAR(OctSun1+27)=$A$1,MONTH(OctSun1+27)=10),OctSun1+27,"")</f>
        <v>42665</v>
      </c>
      <c r="AO12" s="44"/>
      <c r="AR12" s="19" t="s">
        <v>24</v>
      </c>
      <c r="AS12" s="4">
        <v>4</v>
      </c>
      <c r="AT12" s="129" t="s">
        <v>27</v>
      </c>
      <c r="AU12" s="130"/>
      <c r="AZ12" s="6">
        <v>4</v>
      </c>
    </row>
    <row r="13" spans="2:52" s="6" customFormat="1" ht="15.95" customHeight="1">
      <c r="B13" s="64"/>
      <c r="C13" s="62"/>
      <c r="D13" s="52"/>
      <c r="E13" s="52"/>
      <c r="F13" s="52"/>
      <c r="G13" s="52"/>
      <c r="H13" s="52"/>
      <c r="I13" s="52"/>
      <c r="J13" s="52"/>
      <c r="K13" s="83"/>
      <c r="L13" s="84"/>
      <c r="M13" s="62"/>
      <c r="N13" s="52"/>
      <c r="O13" s="52"/>
      <c r="P13" s="52"/>
      <c r="Q13" s="52"/>
      <c r="R13" s="52"/>
      <c r="S13" s="52"/>
      <c r="T13" s="52"/>
      <c r="U13" s="83"/>
      <c r="V13" s="84"/>
      <c r="W13" s="62"/>
      <c r="X13" s="52"/>
      <c r="Y13" s="52"/>
      <c r="Z13" s="52"/>
      <c r="AA13" s="52"/>
      <c r="AB13" s="52"/>
      <c r="AC13" s="52"/>
      <c r="AD13" s="52"/>
      <c r="AE13" s="83"/>
      <c r="AF13" s="84"/>
      <c r="AG13" s="62"/>
      <c r="AH13" s="52"/>
      <c r="AI13" s="52"/>
      <c r="AJ13" s="52"/>
      <c r="AK13" s="52"/>
      <c r="AL13" s="52"/>
      <c r="AM13" s="52"/>
      <c r="AN13" s="52"/>
      <c r="AO13" s="45"/>
      <c r="AR13" s="17">
        <f>AS10+(AT10*0.5)+AU10+(AV10*0.5)</f>
        <v>0</v>
      </c>
      <c r="AS13" s="4">
        <v>6</v>
      </c>
      <c r="AT13" s="131" t="s">
        <v>28</v>
      </c>
      <c r="AU13" s="132"/>
      <c r="AZ13" s="6">
        <v>4.5</v>
      </c>
    </row>
    <row r="14" spans="2:52" s="3" customFormat="1" ht="15.95" customHeight="1">
      <c r="B14" s="63"/>
      <c r="C14" s="60"/>
      <c r="D14" s="51">
        <f>IF(AND(YEAR(JanSun1+28)=$A$1,MONTH(JanSun1+28)=1),JanSun1+28,"")</f>
        <v>42393</v>
      </c>
      <c r="E14" s="51">
        <f>IF(AND(YEAR(JanSun1+29)=$A$1,MONTH(JanSun1+29)=1),JanSun1+29,"")</f>
        <v>42394</v>
      </c>
      <c r="F14" s="51">
        <f>IF(AND(YEAR(JanSun1+30)=$A$1,MONTH(JanSun1+30)=1),JanSun1+30,"")</f>
        <v>42395</v>
      </c>
      <c r="G14" s="51">
        <f>IF(AND(YEAR(JanSun1+31)=$A$1,MONTH(JanSun1+31)=1),JanSun1+31,"")</f>
        <v>42396</v>
      </c>
      <c r="H14" s="51">
        <f>IF(AND(YEAR(JanSun1+32)=$A$1,MONTH(JanSun1+32)=1),JanSun1+32,"")</f>
        <v>42397</v>
      </c>
      <c r="I14" s="51">
        <f>IF(AND(YEAR(JanSun1+33)=$A$1,MONTH(JanSun1+33)=1),JanSun1+33,"")</f>
        <v>42398</v>
      </c>
      <c r="J14" s="51">
        <f>IF(AND(YEAR(JanSun1+34)=$A$1,MONTH(JanSun1+34)=1),JanSun1+34,"")</f>
        <v>42399</v>
      </c>
      <c r="K14" s="49"/>
      <c r="L14" s="16"/>
      <c r="M14" s="60"/>
      <c r="N14" s="51">
        <f>IF(AND(YEAR(AprSun1+28)=$A$1,MONTH(AprSun1+28)=4),AprSun1+28,"")</f>
        <v>42484</v>
      </c>
      <c r="O14" s="51">
        <f>IF(AND(YEAR(AprSun1+29)=$A$1,MONTH(AprSun1+29)=4),AprSun1+29,"")</f>
        <v>42485</v>
      </c>
      <c r="P14" s="51">
        <f>IF(AND(YEAR(AprSun1+30)=$A$1,MONTH(AprSun1+30)=4),AprSun1+30,"")</f>
        <v>42486</v>
      </c>
      <c r="Q14" s="51">
        <f>IF(AND(YEAR(AprSun1+31)=$A$1,MONTH(AprSun1+31)=4),AprSun1+31,"")</f>
        <v>42487</v>
      </c>
      <c r="R14" s="51">
        <f>IF(AND(YEAR(AprSun1+32)=$A$1,MONTH(AprSun1+32)=4),AprSun1+32,"")</f>
        <v>42488</v>
      </c>
      <c r="S14" s="51">
        <f>IF(AND(YEAR(AprSun1+33)=$A$1,MONTH(AprSun1+33)=4),AprSun1+33,"")</f>
        <v>42489</v>
      </c>
      <c r="T14" s="51">
        <f>IF(AND(YEAR(AprSun1+34)=$A$1,MONTH(AprSun1+34)=4),AprSun1+34,"")</f>
        <v>42490</v>
      </c>
      <c r="U14" s="49"/>
      <c r="V14" s="16"/>
      <c r="W14" s="60"/>
      <c r="X14" s="51">
        <f>IF(AND(YEAR(JulSun1+28)=$A$1,MONTH(JulSun1+28)=7),JulSun1+28,"")</f>
        <v>42575</v>
      </c>
      <c r="Y14" s="51">
        <f>IF(AND(YEAR(JulSun1+29)=$A$1,MONTH(JulSun1+29)=7),JulSun1+29,"")</f>
        <v>42576</v>
      </c>
      <c r="Z14" s="51">
        <f>IF(AND(YEAR(JulSun1+30)=$A$1,MONTH(JulSun1+30)=7),JulSun1+30,"")</f>
        <v>42577</v>
      </c>
      <c r="AA14" s="51">
        <f>IF(AND(YEAR(JulSun1+31)=$A$1,MONTH(JulSun1+31)=7),JulSun1+31,"")</f>
        <v>42578</v>
      </c>
      <c r="AB14" s="51">
        <f>IF(AND(YEAR(JulSun1+32)=$A$1,MONTH(JulSun1+32)=7),JulSun1+32,"")</f>
        <v>42579</v>
      </c>
      <c r="AC14" s="51">
        <f>IF(AND(YEAR(JulSun1+33)=$A$1,MONTH(JulSun1+33)=7),JulSun1+33,"")</f>
        <v>42580</v>
      </c>
      <c r="AD14" s="51">
        <f>IF(AND(YEAR(JulSun1+34)=$A$1,MONTH(JulSun1+34)=7),JulSun1+34,"")</f>
        <v>42581</v>
      </c>
      <c r="AE14" s="49"/>
      <c r="AF14" s="16"/>
      <c r="AG14" s="60"/>
      <c r="AH14" s="51">
        <f>IF(AND(YEAR(OctSun1+28)=$A$1,MONTH(OctSun1+28)=10),OctSun1+28,"")</f>
        <v>42666</v>
      </c>
      <c r="AI14" s="51">
        <f>IF(AND(YEAR(OctSun1+29)=$A$1,MONTH(OctSun1+29)=10),OctSun1+29,"")</f>
        <v>42667</v>
      </c>
      <c r="AJ14" s="51">
        <f>IF(AND(YEAR(OctSun1+30)=$A$1,MONTH(OctSun1+30)=10),OctSun1+30,"")</f>
        <v>42668</v>
      </c>
      <c r="AK14" s="51">
        <f>IF(AND(YEAR(OctSun1+31)=$A$1,MONTH(OctSun1+31)=10),OctSun1+31,"")</f>
        <v>42669</v>
      </c>
      <c r="AL14" s="51">
        <f>IF(AND(YEAR(OctSun1+32)=$A$1,MONTH(OctSun1+32)=10),OctSun1+32,"")</f>
        <v>42670</v>
      </c>
      <c r="AM14" s="51">
        <f>IF(AND(YEAR(OctSun1+33)=$A$1,MONTH(OctSun1+33)=10),OctSun1+33,"")</f>
        <v>42671</v>
      </c>
      <c r="AN14" s="51">
        <f>IF(AND(YEAR(OctSun1+34)=$A$1,MONTH(OctSun1+34)=10),OctSun1+34,"")</f>
        <v>42672</v>
      </c>
      <c r="AO14" s="44"/>
      <c r="AR14" s="19"/>
      <c r="AS14" s="4">
        <v>8</v>
      </c>
      <c r="AT14" s="121" t="s">
        <v>29</v>
      </c>
      <c r="AU14" s="122"/>
      <c r="AZ14" s="18">
        <v>5</v>
      </c>
    </row>
    <row r="15" spans="1:52" s="6" customFormat="1" ht="15.95" customHeight="1">
      <c r="A15" s="3"/>
      <c r="B15" s="63"/>
      <c r="C15" s="60"/>
      <c r="D15" s="52"/>
      <c r="E15" s="52"/>
      <c r="F15" s="52"/>
      <c r="G15" s="52"/>
      <c r="H15" s="52"/>
      <c r="I15" s="52"/>
      <c r="J15" s="52"/>
      <c r="K15" s="49"/>
      <c r="L15" s="16"/>
      <c r="M15" s="60"/>
      <c r="N15" s="52"/>
      <c r="O15" s="52"/>
      <c r="P15" s="52"/>
      <c r="Q15" s="52"/>
      <c r="R15" s="52"/>
      <c r="S15" s="52"/>
      <c r="T15" s="52"/>
      <c r="U15" s="49"/>
      <c r="V15" s="16"/>
      <c r="W15" s="60"/>
      <c r="X15" s="52"/>
      <c r="Y15" s="52"/>
      <c r="Z15" s="52"/>
      <c r="AA15" s="52"/>
      <c r="AB15" s="52"/>
      <c r="AC15" s="52"/>
      <c r="AD15" s="109"/>
      <c r="AE15" s="49"/>
      <c r="AF15" s="16"/>
      <c r="AG15" s="60"/>
      <c r="AH15" s="52"/>
      <c r="AI15" s="52"/>
      <c r="AJ15" s="52"/>
      <c r="AK15" s="52"/>
      <c r="AL15" s="52"/>
      <c r="AM15" s="52"/>
      <c r="AN15" s="52"/>
      <c r="AO15" s="44"/>
      <c r="AP15" s="3"/>
      <c r="AQ15" s="3"/>
      <c r="AR15" s="19"/>
      <c r="AS15" s="4">
        <v>10</v>
      </c>
      <c r="AT15" s="123" t="s">
        <v>30</v>
      </c>
      <c r="AU15" s="124"/>
      <c r="AZ15" s="6">
        <v>5.5</v>
      </c>
    </row>
    <row r="16" spans="1:52" s="6" customFormat="1" ht="15.95" customHeight="1">
      <c r="A16" s="3"/>
      <c r="B16" s="63"/>
      <c r="C16" s="60"/>
      <c r="D16" s="51">
        <f>IF(AND(YEAR(JanSun1+35)=$A$1,MONTH(JanSun1+35)=1),JanSun1+35,"")</f>
        <v>42400</v>
      </c>
      <c r="E16" s="51" t="str">
        <f>IF(AND(YEAR(JanSun1+36)=$A$1,MONTH(JanSun1+36)=1),JanSun1+36,"")</f>
        <v/>
      </c>
      <c r="F16" s="51" t="str">
        <f>IF(AND(YEAR(JanSun1+37)=$A$1,MONTH(JanSun1+37)=1),JanSun1+37,"")</f>
        <v/>
      </c>
      <c r="G16" s="51" t="str">
        <f>IF(AND(YEAR(JanSun1+38)=$A$1,MONTH(JanSun1+38)=1),JanSun1+38,"")</f>
        <v/>
      </c>
      <c r="H16" s="51" t="str">
        <f>IF(AND(YEAR(JanSun1+39)=$A$1,MONTH(JanSun1+39)=1),JanSun1+39,"")</f>
        <v/>
      </c>
      <c r="I16" s="51" t="str">
        <f>IF(AND(YEAR(JanSun1+40)=$A$1,MONTH(JanSun1+40)=1),JanSun1+40,"")</f>
        <v/>
      </c>
      <c r="J16" s="51" t="str">
        <f>IF(AND(YEAR(JanSun1+41)=$A$1,MONTH(JanSun1+41)=1),JanSun1+41,"")</f>
        <v/>
      </c>
      <c r="K16" s="49"/>
      <c r="L16" s="16"/>
      <c r="M16" s="60"/>
      <c r="N16" s="51" t="str">
        <f>IF(AND(YEAR(AprSun1+35)=$A$1,MONTH(AprSun1+35)=4),AprSun1+35,"")</f>
        <v/>
      </c>
      <c r="O16" s="51" t="str">
        <f>IF(AND(YEAR(AprSun1+36)=$A$1,MONTH(AprSun1+36)=4),AprSun1+36,"")</f>
        <v/>
      </c>
      <c r="P16" s="51" t="str">
        <f>IF(AND(YEAR(AprSun1+37)=$A$1,MONTH(AprSun1+37)=4),AprSun1+37,"")</f>
        <v/>
      </c>
      <c r="Q16" s="51" t="str">
        <f>IF(AND(YEAR(AprSun1+38)=$A$1,MONTH(AprSun1+38)=4),AprSun1+38,"")</f>
        <v/>
      </c>
      <c r="R16" s="51" t="str">
        <f>IF(AND(YEAR(AprSun1+39)=$A$1,MONTH(AprSun1+39)=4),AprSun1+39,"")</f>
        <v/>
      </c>
      <c r="S16" s="51" t="str">
        <f>IF(AND(YEAR(AprSun1+40)=$A$1,MONTH(AprSun1+40)=4),AprSun1+40,"")</f>
        <v/>
      </c>
      <c r="T16" s="51" t="str">
        <f>IF(AND(YEAR(AprSun1+41)=$A$1,MONTH(AprSun1+41)=4),AprSun1+41,"")</f>
        <v/>
      </c>
      <c r="U16" s="49"/>
      <c r="V16" s="16"/>
      <c r="W16" s="60"/>
      <c r="X16" s="51">
        <f>IF(AND(YEAR(JulSun1+35)=$A$1,MONTH(JulSun1+35)=7),JulSun1+35,"")</f>
        <v>42582</v>
      </c>
      <c r="Y16" s="51" t="str">
        <f>IF(AND(YEAR(JulSun1+36)=$A$1,MONTH(JulSun1+36)=7),JulSun1+36,"")</f>
        <v/>
      </c>
      <c r="Z16" s="51" t="str">
        <f>IF(AND(YEAR(JulSun1+37)=$A$1,MONTH(JulSun1+37)=7),JulSun1+37,"")</f>
        <v/>
      </c>
      <c r="AA16" s="51" t="str">
        <f>IF(AND(YEAR(JulSun1+38)=$A$1,MONTH(JulSun1+38)=7),JulSun1+38,"")</f>
        <v/>
      </c>
      <c r="AB16" s="51" t="str">
        <f>IF(AND(YEAR(JulSun1+39)=$A$1,MONTH(JulSun1+39)=7),JulSun1+39,"")</f>
        <v/>
      </c>
      <c r="AC16" s="51" t="str">
        <f>IF(AND(YEAR(JulSun1+40)=$A$1,MONTH(JulSun1+40)=7),JulSun1+40,"")</f>
        <v/>
      </c>
      <c r="AD16" s="51" t="str">
        <f>IF(AND(YEAR(JulSun1+41)=$A$1,MONTH(JulSun1+41)=7),JulSun1+41,"")</f>
        <v/>
      </c>
      <c r="AE16" s="49"/>
      <c r="AF16" s="16"/>
      <c r="AG16" s="60"/>
      <c r="AH16" s="51">
        <f>IF(AND(YEAR(OctSun1+35)=$A$1,MONTH(OctSun1+35)=10),OctSun1+35,"")</f>
        <v>42673</v>
      </c>
      <c r="AI16" s="51">
        <f>IF(AND(YEAR(OctSun1+36)=$A$1,MONTH(OctSun1+36)=10),OctSun1+36,"")</f>
        <v>42674</v>
      </c>
      <c r="AJ16" s="51" t="str">
        <f>IF(AND(YEAR(OctSun1+37)=$A$1,MONTH(OctSun1+37)=10),OctSun1+37,"")</f>
        <v/>
      </c>
      <c r="AK16" s="51" t="str">
        <f>IF(AND(YEAR(OctSun1+38)=$A$1,MONTH(OctSun1+38)=10),OctSun1+38,"")</f>
        <v/>
      </c>
      <c r="AL16" s="51" t="str">
        <f>IF(AND(YEAR(OctSun1+39)=$A$1,MONTH(OctSun1+39)=10),OctSun1+39,"")</f>
        <v/>
      </c>
      <c r="AM16" s="51" t="str">
        <f>IF(AND(YEAR(OctSun1+40)=$A$1,MONTH(OctSun1+40)=10),OctSun1+40,"")</f>
        <v/>
      </c>
      <c r="AN16" s="51" t="str">
        <f>IF(AND(YEAR(OctSun1+41)=$A$1,MONTH(OctSun1+41)=10),OctSun1+41,"")</f>
        <v/>
      </c>
      <c r="AO16" s="44"/>
      <c r="AP16" s="3"/>
      <c r="AQ16" s="3"/>
      <c r="AR16" s="12"/>
      <c r="AZ16" s="6">
        <v>6</v>
      </c>
    </row>
    <row r="17" spans="2:52" s="6" customFormat="1" ht="15.95" customHeight="1">
      <c r="B17" s="64"/>
      <c r="C17" s="62"/>
      <c r="D17" s="52"/>
      <c r="E17" s="53"/>
      <c r="F17" s="53"/>
      <c r="G17" s="53"/>
      <c r="H17" s="53"/>
      <c r="I17" s="53"/>
      <c r="J17" s="53"/>
      <c r="K17" s="48" t="s">
        <v>21</v>
      </c>
      <c r="L17" s="16"/>
      <c r="M17" s="62"/>
      <c r="N17" s="53"/>
      <c r="O17" s="53"/>
      <c r="P17" s="53"/>
      <c r="Q17" s="53"/>
      <c r="R17" s="53"/>
      <c r="S17" s="53"/>
      <c r="T17" s="53"/>
      <c r="U17" s="48" t="s">
        <v>21</v>
      </c>
      <c r="V17" s="16"/>
      <c r="W17" s="62"/>
      <c r="X17" s="52"/>
      <c r="Y17" s="53"/>
      <c r="Z17" s="53"/>
      <c r="AA17" s="53"/>
      <c r="AB17" s="53"/>
      <c r="AC17" s="53"/>
      <c r="AD17" s="53"/>
      <c r="AE17" s="48" t="s">
        <v>21</v>
      </c>
      <c r="AF17" s="16"/>
      <c r="AG17" s="62"/>
      <c r="AH17" s="52"/>
      <c r="AI17" s="52"/>
      <c r="AJ17" s="53"/>
      <c r="AK17" s="53"/>
      <c r="AL17" s="53"/>
      <c r="AM17" s="53"/>
      <c r="AN17" s="53"/>
      <c r="AO17" s="46" t="s">
        <v>21</v>
      </c>
      <c r="AP17" s="3"/>
      <c r="AQ17" s="3"/>
      <c r="AR17" s="20" t="s">
        <v>32</v>
      </c>
      <c r="AS17" s="4">
        <v>6</v>
      </c>
      <c r="AT17" s="127" t="s">
        <v>27</v>
      </c>
      <c r="AU17" s="128"/>
      <c r="AZ17" s="6">
        <v>6.5</v>
      </c>
    </row>
    <row r="18" spans="1:52" s="3" customFormat="1" ht="15.95" customHeight="1" thickBot="1">
      <c r="A18" s="6"/>
      <c r="B18" s="64"/>
      <c r="C18" s="65" t="s">
        <v>35</v>
      </c>
      <c r="D18" s="110">
        <f>COUNTIF(D7:J7,"AC")+COUNTIF(D9:J9,"AC")+COUNTIF(D11:J11,"AC")+COUNTIF(D13:J13,"AC")+COUNTIF(D15:J15,"AC")+COUNTIF(D17:J17,"AC")</f>
        <v>0</v>
      </c>
      <c r="E18" s="111" t="s">
        <v>2</v>
      </c>
      <c r="F18" s="110">
        <f>COUNTIF(D7:J7,"T")+COUNTIF(D9:J9,"T")+COUNTIF(D11:J11,"T")+COUNTIF(D13:J13,"T")+COUNTIF(D15:J15,"T")+COUNTIF(D17:J17,"T")</f>
        <v>0</v>
      </c>
      <c r="G18" s="111" t="s">
        <v>20</v>
      </c>
      <c r="H18" s="110">
        <f>COUNTIF(D7:J7,"MP")+COUNTIF(D9:J9,"MP")+COUNTIF(D11:J11,"MP")+COUNTIF(D13:J13,"MP")+COUNTIF(D15:J15,"MP")+COUNTIF(D17:J17,"MP")</f>
        <v>0</v>
      </c>
      <c r="I18" s="111" t="s">
        <v>22</v>
      </c>
      <c r="J18" s="110">
        <f>COUNTIF(D7:J7,"A")+COUNTIF(D9:J9,"A")+COUNTIF(D11:J11,"A")+COUNTIF(D13:J13,"A")+COUNTIF(D15:J15,"A")+COUNTIF(D17:J17,"A")</f>
        <v>0</v>
      </c>
      <c r="K18" s="54">
        <f>SUM((F18*0.5)+(H18*0.5)+(J18))</f>
        <v>0</v>
      </c>
      <c r="L18" s="85"/>
      <c r="M18" s="65" t="s">
        <v>35</v>
      </c>
      <c r="N18" s="110">
        <f>COUNTIF(N7:T7,"AC")+COUNTIF(N9:T9,"AC")+COUNTIF(N11:T11,"AC")+COUNTIF(N13:T13,"AC")+COUNTIF(N15:T15,"AC")+COUNTIF(N17:T17,"AC")</f>
        <v>0</v>
      </c>
      <c r="O18" s="111" t="s">
        <v>2</v>
      </c>
      <c r="P18" s="110">
        <f>COUNTIF(N7:T7,"T")+COUNTIF(N9:T9,"T")+COUNTIF(N11:T11,"T")+COUNTIF(N13:T13,"T")+COUNTIF(N15:T15,"T")+COUNTIF(N17:T17,"T")</f>
        <v>0</v>
      </c>
      <c r="Q18" s="111" t="s">
        <v>20</v>
      </c>
      <c r="R18" s="110">
        <f>COUNTIF(N7:T7,"MP")+COUNTIF(N9:T9,"MP")+COUNTIF(N11:T11,"MP")+COUNTIF(N13:T13,"MP")+COUNTIF(N15:T15,"MP")+COUNTIF(N17:T17,"MP")</f>
        <v>0</v>
      </c>
      <c r="S18" s="111" t="s">
        <v>22</v>
      </c>
      <c r="T18" s="110">
        <f>COUNTIF(N7:T7,"A")+COUNTIF(N9:T9,"A")+COUNTIF(N11:T11,"A")+COUNTIF(N13:T13,"A")+COUNTIF(N15:T15,"A")+COUNTIF(N17:T17,"A")</f>
        <v>0</v>
      </c>
      <c r="U18" s="54">
        <f>SUM((P18*0.5)+(R18*0.5)+(T18))</f>
        <v>0</v>
      </c>
      <c r="V18" s="85"/>
      <c r="W18" s="65" t="s">
        <v>35</v>
      </c>
      <c r="X18" s="110">
        <f>COUNTIF(X7:AD7,"AC")+COUNTIF(X9:AD9,"AC")+COUNTIF(X11:AD11,"AC")+COUNTIF(X13:AD13,"AC")+COUNTIF(X15:AD15,"AC")+COUNTIF(X17:AD17,"AC")</f>
        <v>0</v>
      </c>
      <c r="Y18" s="111" t="s">
        <v>2</v>
      </c>
      <c r="Z18" s="110">
        <f>COUNTIF(X7:AD7,"T")+COUNTIF(X9:AD9,"T")+COUNTIF(X11:AD11,"T")+COUNTIF(X13:AD13,"T")+COUNTIF(X15:AD15,"T")+COUNTIF(X17:AD17,"T")</f>
        <v>0</v>
      </c>
      <c r="AA18" s="111" t="s">
        <v>20</v>
      </c>
      <c r="AB18" s="110">
        <f>COUNTIF(X7:AD7,"MP")+COUNTIF(X9:AD9,"MP")+COUNTIF(X11:AD11,"MP")+COUNTIF(X13:AD13,"MP")+COUNTIF(X17:AD17,"MP")+COUNTIF(X15:AD15,"MP")</f>
        <v>0</v>
      </c>
      <c r="AC18" s="111" t="s">
        <v>22</v>
      </c>
      <c r="AD18" s="110">
        <f>COUNTIF(X7:AD7,"A")+COUNTIF(X9:AD9,"A")+COUNTIF(X11:AD11,"A")+COUNTIF(X13:AD13,"A")+COUNTIF(X15:AD15,"A")+COUNTIF(X17:AD17,"A")</f>
        <v>0</v>
      </c>
      <c r="AE18" s="54">
        <f>SUM((Z18*0.5)+(AB18*0.5)+(AD18))</f>
        <v>0</v>
      </c>
      <c r="AF18" s="85"/>
      <c r="AG18" s="65" t="s">
        <v>35</v>
      </c>
      <c r="AH18" s="110">
        <f>COUNTIF(AH7:AN7,"AC")+COUNTIF(AH9:AN9,"AC")+COUNTIF(AH11:AN11,"AC")+COUNTIF(AH13:AN13,"AC")+COUNTIF(AH15:AN15,"AC")+COUNTIF(AH17:AN17,"AC")</f>
        <v>0</v>
      </c>
      <c r="AI18" s="111" t="s">
        <v>2</v>
      </c>
      <c r="AJ18" s="110">
        <f>COUNTIF(AH7:AN7,"T")+COUNTIF(AH9:AN9,"T")+COUNTIF(AH11:AN11,"T")+COUNTIF(AH13:AN13,"T")+COUNTIF(AH15:AN15,"T")+COUNTIF(AH17:AN17,"T")</f>
        <v>0</v>
      </c>
      <c r="AK18" s="111" t="s">
        <v>20</v>
      </c>
      <c r="AL18" s="110">
        <f>COUNTIF(AH7:AN7,"MP")+COUNTIF(AH9:AN9,"MP")+COUNTIF(AH11:AN11,"MP")+COUNTIF(AH13:AN13,"MP")+COUNTIF(AH15:AN15,"MP")+COUNTIF(AH17:AN17,"MP")</f>
        <v>0</v>
      </c>
      <c r="AM18" s="111" t="s">
        <v>22</v>
      </c>
      <c r="AN18" s="110">
        <f>COUNTIF(AH7:AN7,"A")+COUNTIF(AH9:AN9,"A")+COUNTIF(AH11:AN11,"A")+COUNTIF(AH13:AN13,"A")+COUNTIF(AH15:AN15,"A")+COUNTIF(AH17:AN17,"A")</f>
        <v>0</v>
      </c>
      <c r="AO18" s="54">
        <f>SUM((AJ18*0.5)+(AL18*0.5)+(AN18))</f>
        <v>0</v>
      </c>
      <c r="AP18" s="11"/>
      <c r="AQ18" s="11"/>
      <c r="AR18" s="21" t="s">
        <v>19</v>
      </c>
      <c r="AS18" s="4">
        <v>9</v>
      </c>
      <c r="AT18" s="131" t="s">
        <v>28</v>
      </c>
      <c r="AU18" s="132"/>
      <c r="AZ18" s="6">
        <v>7</v>
      </c>
    </row>
    <row r="19" spans="1:52" s="3" customFormat="1" ht="15.95" customHeight="1" thickBot="1" thickTop="1">
      <c r="A19" s="6"/>
      <c r="B19" s="64"/>
      <c r="C19" s="66"/>
      <c r="D19" s="66"/>
      <c r="E19" s="66"/>
      <c r="F19" s="66"/>
      <c r="G19" s="66"/>
      <c r="H19" s="66"/>
      <c r="I19" s="66"/>
      <c r="J19" s="66"/>
      <c r="K19" s="39"/>
      <c r="L19" s="85"/>
      <c r="M19" s="66"/>
      <c r="N19" s="66"/>
      <c r="O19" s="66"/>
      <c r="P19" s="66"/>
      <c r="Q19" s="66"/>
      <c r="R19" s="66"/>
      <c r="S19" s="66"/>
      <c r="T19" s="66"/>
      <c r="U19" s="39"/>
      <c r="V19" s="85"/>
      <c r="W19" s="66"/>
      <c r="X19" s="66"/>
      <c r="Y19" s="66"/>
      <c r="Z19" s="66"/>
      <c r="AA19" s="66"/>
      <c r="AB19" s="66"/>
      <c r="AC19" s="66"/>
      <c r="AD19" s="66"/>
      <c r="AE19" s="39"/>
      <c r="AF19" s="85"/>
      <c r="AG19" s="66"/>
      <c r="AH19" s="66"/>
      <c r="AI19" s="66"/>
      <c r="AJ19" s="66"/>
      <c r="AK19" s="66"/>
      <c r="AL19" s="66"/>
      <c r="AM19" s="66"/>
      <c r="AN19" s="66"/>
      <c r="AO19" s="39"/>
      <c r="AQ19" s="6"/>
      <c r="AR19" s="13">
        <f>D18+J18+D33+J33+D52+J52+N18+T18+N35+T35+N52+T52+X52+AD52+X35+AD35+X18+AD18+AH18+AN18+AH35+AN35+AH52+AN52+AR23</f>
        <v>0</v>
      </c>
      <c r="AS19" s="14">
        <v>12</v>
      </c>
      <c r="AT19" s="121" t="s">
        <v>29</v>
      </c>
      <c r="AU19" s="122"/>
      <c r="AZ19" s="18">
        <v>7.5</v>
      </c>
    </row>
    <row r="20" spans="1:52" s="6" customFormat="1" ht="15.75" customHeight="1" thickTop="1">
      <c r="A20" s="3"/>
      <c r="B20" s="64"/>
      <c r="C20" s="67"/>
      <c r="D20" s="112"/>
      <c r="E20" s="112"/>
      <c r="F20" s="112"/>
      <c r="G20" s="112"/>
      <c r="H20" s="112"/>
      <c r="I20" s="112"/>
      <c r="J20" s="112"/>
      <c r="K20" s="47"/>
      <c r="L20" s="85"/>
      <c r="M20" s="67"/>
      <c r="N20" s="112"/>
      <c r="O20" s="112"/>
      <c r="P20" s="112"/>
      <c r="Q20" s="112"/>
      <c r="R20" s="112"/>
      <c r="S20" s="112"/>
      <c r="T20" s="112"/>
      <c r="U20" s="47"/>
      <c r="V20" s="85"/>
      <c r="W20" s="67"/>
      <c r="X20" s="112"/>
      <c r="Y20" s="112"/>
      <c r="Z20" s="112"/>
      <c r="AA20" s="112"/>
      <c r="AB20" s="112"/>
      <c r="AC20" s="112"/>
      <c r="AD20" s="112"/>
      <c r="AE20" s="47"/>
      <c r="AF20" s="85"/>
      <c r="AG20" s="67"/>
      <c r="AH20" s="112"/>
      <c r="AI20" s="112"/>
      <c r="AJ20" s="112"/>
      <c r="AK20" s="112"/>
      <c r="AL20" s="112"/>
      <c r="AM20" s="112"/>
      <c r="AN20" s="112"/>
      <c r="AO20" s="47"/>
      <c r="AP20" s="3"/>
      <c r="AQ20" s="3"/>
      <c r="AR20" s="19"/>
      <c r="AS20" s="4">
        <v>15</v>
      </c>
      <c r="AT20" s="123" t="s">
        <v>30</v>
      </c>
      <c r="AU20" s="124"/>
      <c r="AZ20" s="6">
        <v>8</v>
      </c>
    </row>
    <row r="21" spans="2:52" s="3" customFormat="1" ht="15.95" customHeight="1">
      <c r="B21" s="63"/>
      <c r="C21" s="62"/>
      <c r="D21" s="133" t="s">
        <v>6</v>
      </c>
      <c r="E21" s="134"/>
      <c r="F21" s="134"/>
      <c r="G21" s="134"/>
      <c r="H21" s="134"/>
      <c r="I21" s="134"/>
      <c r="J21" s="135"/>
      <c r="K21" s="86"/>
      <c r="L21" s="87"/>
      <c r="M21" s="62"/>
      <c r="N21" s="133" t="s">
        <v>9</v>
      </c>
      <c r="O21" s="134"/>
      <c r="P21" s="134"/>
      <c r="Q21" s="134"/>
      <c r="R21" s="134"/>
      <c r="S21" s="134"/>
      <c r="T21" s="135"/>
      <c r="U21" s="86"/>
      <c r="V21" s="87"/>
      <c r="W21" s="62"/>
      <c r="X21" s="133" t="s">
        <v>14</v>
      </c>
      <c r="Y21" s="134"/>
      <c r="Z21" s="134"/>
      <c r="AA21" s="134"/>
      <c r="AB21" s="134"/>
      <c r="AC21" s="134"/>
      <c r="AD21" s="135"/>
      <c r="AE21" s="86"/>
      <c r="AF21" s="87"/>
      <c r="AG21" s="62"/>
      <c r="AH21" s="133" t="s">
        <v>15</v>
      </c>
      <c r="AI21" s="134"/>
      <c r="AJ21" s="134"/>
      <c r="AK21" s="134"/>
      <c r="AL21" s="134"/>
      <c r="AM21" s="134"/>
      <c r="AN21" s="135"/>
      <c r="AO21" s="45"/>
      <c r="AP21" s="6"/>
      <c r="AR21" s="22" t="s">
        <v>51</v>
      </c>
      <c r="AS21" s="25"/>
      <c r="AT21" s="26"/>
      <c r="AU21" s="27"/>
      <c r="AZ21" s="6">
        <v>8.5</v>
      </c>
    </row>
    <row r="22" spans="2:52" s="6" customFormat="1" ht="15.95" customHeight="1">
      <c r="B22" s="63"/>
      <c r="C22" s="60"/>
      <c r="D22" s="107" t="s">
        <v>0</v>
      </c>
      <c r="E22" s="107" t="s">
        <v>1</v>
      </c>
      <c r="F22" s="107" t="s">
        <v>2</v>
      </c>
      <c r="G22" s="107" t="s">
        <v>3</v>
      </c>
      <c r="H22" s="107" t="s">
        <v>2</v>
      </c>
      <c r="I22" s="107" t="s">
        <v>4</v>
      </c>
      <c r="J22" s="107" t="s">
        <v>0</v>
      </c>
      <c r="K22" s="81"/>
      <c r="L22" s="82"/>
      <c r="M22" s="60"/>
      <c r="N22" s="107" t="s">
        <v>0</v>
      </c>
      <c r="O22" s="107" t="s">
        <v>1</v>
      </c>
      <c r="P22" s="107" t="s">
        <v>2</v>
      </c>
      <c r="Q22" s="107" t="s">
        <v>3</v>
      </c>
      <c r="R22" s="107" t="s">
        <v>2</v>
      </c>
      <c r="S22" s="107" t="s">
        <v>4</v>
      </c>
      <c r="T22" s="107" t="s">
        <v>0</v>
      </c>
      <c r="U22" s="81"/>
      <c r="V22" s="82"/>
      <c r="W22" s="60"/>
      <c r="X22" s="107" t="s">
        <v>0</v>
      </c>
      <c r="Y22" s="107" t="s">
        <v>1</v>
      </c>
      <c r="Z22" s="107" t="s">
        <v>2</v>
      </c>
      <c r="AA22" s="107" t="s">
        <v>3</v>
      </c>
      <c r="AB22" s="107" t="s">
        <v>2</v>
      </c>
      <c r="AC22" s="107" t="s">
        <v>4</v>
      </c>
      <c r="AD22" s="107" t="s">
        <v>0</v>
      </c>
      <c r="AE22" s="81"/>
      <c r="AF22" s="82"/>
      <c r="AG22" s="60"/>
      <c r="AH22" s="107" t="s">
        <v>0</v>
      </c>
      <c r="AI22" s="107" t="s">
        <v>1</v>
      </c>
      <c r="AJ22" s="107" t="s">
        <v>2</v>
      </c>
      <c r="AK22" s="107" t="s">
        <v>3</v>
      </c>
      <c r="AL22" s="107" t="s">
        <v>2</v>
      </c>
      <c r="AM22" s="107" t="s">
        <v>4</v>
      </c>
      <c r="AN22" s="107" t="s">
        <v>0</v>
      </c>
      <c r="AO22" s="44"/>
      <c r="AP22" s="3"/>
      <c r="AR22" s="23" t="s">
        <v>44</v>
      </c>
      <c r="AS22" s="28"/>
      <c r="AT22" s="29"/>
      <c r="AU22" s="30"/>
      <c r="AZ22" s="6">
        <v>9</v>
      </c>
    </row>
    <row r="23" spans="2:52" s="3" customFormat="1" ht="15.95" customHeight="1">
      <c r="B23" s="64"/>
      <c r="C23" s="60"/>
      <c r="D23" s="51" t="str">
        <f>IF(AND(YEAR(FebSun1)=$A$1,MONTH(FebSun1)=2),FebSun1,"")</f>
        <v/>
      </c>
      <c r="E23" s="51">
        <f>IF(AND(YEAR(FebSun1+1)=$A$1,MONTH(FebSun1+1)=2),FebSun1+1,"")</f>
        <v>42401</v>
      </c>
      <c r="F23" s="51">
        <f>IF(AND(YEAR(FebSun1+2)=$A$1,MONTH(FebSun1+2)=2),FebSun1+2,"")</f>
        <v>42402</v>
      </c>
      <c r="G23" s="51">
        <f>IF(AND(YEAR(FebSun1+3)=$A$1,MONTH(FebSun1+3)=2),FebSun1+3,"")</f>
        <v>42403</v>
      </c>
      <c r="H23" s="51">
        <f>IF(AND(YEAR(FebSun1+4)=$A$1,MONTH(FebSun1+4)=2),FebSun1+4,"")</f>
        <v>42404</v>
      </c>
      <c r="I23" s="51">
        <f>IF(AND(YEAR(FebSun1+5)=$A$1,MONTH(FebSun1+5)=2),FebSun1+5,"")</f>
        <v>42405</v>
      </c>
      <c r="J23" s="51">
        <f>IF(AND(YEAR(FebSun1+6)=$A$1,MONTH(FebSun1+6)=2),FebSun1+6,"")</f>
        <v>42406</v>
      </c>
      <c r="K23" s="49"/>
      <c r="L23" s="16"/>
      <c r="M23" s="60"/>
      <c r="N23" s="51">
        <f>IF(AND(YEAR(MaySun1)=$A$1,MONTH(MaySun1)=5),MaySun1,"")</f>
        <v>42491</v>
      </c>
      <c r="O23" s="51">
        <f>IF(AND(YEAR(MaySun1+1)=$A$1,MONTH(MaySun1+1)=5),MaySun1+1,"")</f>
        <v>42492</v>
      </c>
      <c r="P23" s="51">
        <f>IF(AND(YEAR(MaySun1+2)=$A$1,MONTH(MaySun1+2)=5),MaySun1+2,"")</f>
        <v>42493</v>
      </c>
      <c r="Q23" s="51">
        <f>IF(AND(YEAR(MaySun1+3)=$A$1,MONTH(MaySun1+3)=5),MaySun1+3,"")</f>
        <v>42494</v>
      </c>
      <c r="R23" s="51">
        <f>IF(AND(YEAR(MaySun1+4)=$A$1,MONTH(MaySun1+4)=5),MaySun1+4,"")</f>
        <v>42495</v>
      </c>
      <c r="S23" s="51">
        <f>IF(AND(YEAR(MaySun1+5)=$A$1,MONTH(MaySun1+5)=5),MaySun1+5,"")</f>
        <v>42496</v>
      </c>
      <c r="T23" s="51">
        <f>IF(AND(YEAR(MaySun1+6)=$A$1,MONTH(MaySun1+6)=5),MaySun1+6,"")</f>
        <v>42497</v>
      </c>
      <c r="U23" s="49"/>
      <c r="V23" s="16"/>
      <c r="W23" s="60"/>
      <c r="X23" s="51" t="str">
        <f>IF(AND(YEAR(AugSun1)=$A$1,MONTH(AugSun1)=8),AugSun1,"")</f>
        <v/>
      </c>
      <c r="Y23" s="51">
        <f>IF(AND(YEAR(AugSun1+1)=$A$1,MONTH(AugSun1+1)=8),AugSun1+1,"")</f>
        <v>42583</v>
      </c>
      <c r="Z23" s="51">
        <f>IF(AND(YEAR(AugSun1+2)=$A$1,MONTH(AugSun1+2)=8),AugSun1+2,"")</f>
        <v>42584</v>
      </c>
      <c r="AA23" s="51">
        <f>IF(AND(YEAR(AugSun1+3)=$A$1,MONTH(AugSun1+3)=8),AugSun1+3,"")</f>
        <v>42585</v>
      </c>
      <c r="AB23" s="51">
        <f>IF(AND(YEAR(AugSun1+4)=$A$1,MONTH(AugSun1+4)=8),AugSun1+4,"")</f>
        <v>42586</v>
      </c>
      <c r="AC23" s="51">
        <f>IF(AND(YEAR(AugSun1+5)=$A$1,MONTH(AugSun1+5)=8),AugSun1+5,"")</f>
        <v>42587</v>
      </c>
      <c r="AD23" s="51">
        <f>IF(AND(YEAR(AugSun1+6)=$A$1,MONTH(AugSun1+6)=8),AugSun1+6,"")</f>
        <v>42588</v>
      </c>
      <c r="AE23" s="49"/>
      <c r="AF23" s="16"/>
      <c r="AG23" s="60"/>
      <c r="AH23" s="51" t="str">
        <f>IF(AND(YEAR(NovSun1)=$A$1,MONTH(NovSun1)=11),NovSun1,"")</f>
        <v/>
      </c>
      <c r="AI23" s="51" t="str">
        <f>IF(AND(YEAR(NovSun1+1)=$A$1,MONTH(NovSun1+1)=11),NovSun1+1,"")</f>
        <v/>
      </c>
      <c r="AJ23" s="51">
        <f>IF(AND(YEAR(NovSun1+2)=$A$1,MONTH(NovSun1+2)=11),NovSun1+2,"")</f>
        <v>42675</v>
      </c>
      <c r="AK23" s="51">
        <f>IF(AND(YEAR(NovSun1+3)=$A$1,MONTH(NovSun1+3)=11),NovSun1+3,"")</f>
        <v>42676</v>
      </c>
      <c r="AL23" s="51">
        <f>IF(AND(YEAR(NovSun1+4)=$A$1,MONTH(NovSun1+4)=11),NovSun1+4,"")</f>
        <v>42677</v>
      </c>
      <c r="AM23" s="51">
        <f>IF(AND(YEAR(NovSun1+5)=$A$1,MONTH(NovSun1+5)=11),NovSun1+5,"")</f>
        <v>42678</v>
      </c>
      <c r="AN23" s="51">
        <f>IF(AND(YEAR(NovSun1+6)=$A$1,MONTH(NovSun1+6)=11),NovSun1+6,"")</f>
        <v>42679</v>
      </c>
      <c r="AO23" s="44"/>
      <c r="AP23" s="6"/>
      <c r="AR23" s="24">
        <f>A12</f>
        <v>0</v>
      </c>
      <c r="AS23" s="31"/>
      <c r="AT23" s="32"/>
      <c r="AU23" s="33"/>
      <c r="AZ23" s="6">
        <v>9.5</v>
      </c>
    </row>
    <row r="24" spans="2:52" s="6" customFormat="1" ht="15.95" customHeight="1">
      <c r="B24" s="63"/>
      <c r="C24" s="62"/>
      <c r="D24" s="52"/>
      <c r="E24" s="52"/>
      <c r="F24" s="52"/>
      <c r="G24" s="52"/>
      <c r="H24" s="52"/>
      <c r="I24" s="52"/>
      <c r="J24" s="52"/>
      <c r="K24" s="83"/>
      <c r="L24" s="84"/>
      <c r="M24" s="62"/>
      <c r="N24" s="52"/>
      <c r="O24" s="52"/>
      <c r="P24" s="52"/>
      <c r="Q24" s="52"/>
      <c r="R24" s="52"/>
      <c r="S24" s="52"/>
      <c r="T24" s="52"/>
      <c r="U24" s="83"/>
      <c r="V24" s="84"/>
      <c r="W24" s="62"/>
      <c r="X24" s="53"/>
      <c r="Y24" s="52"/>
      <c r="Z24" s="52"/>
      <c r="AA24" s="52"/>
      <c r="AB24" s="52"/>
      <c r="AC24" s="52"/>
      <c r="AD24" s="52"/>
      <c r="AE24" s="83"/>
      <c r="AF24" s="84"/>
      <c r="AG24" s="62"/>
      <c r="AH24" s="52"/>
      <c r="AI24" s="52"/>
      <c r="AJ24" s="52"/>
      <c r="AK24" s="52"/>
      <c r="AL24" s="52"/>
      <c r="AM24" s="52"/>
      <c r="AN24" s="52"/>
      <c r="AO24" s="45"/>
      <c r="AP24" s="3"/>
      <c r="AR24" s="3"/>
      <c r="AS24" s="3"/>
      <c r="AT24" s="3"/>
      <c r="AU24" s="3"/>
      <c r="AZ24" s="18">
        <v>10</v>
      </c>
    </row>
    <row r="25" spans="2:52" s="3" customFormat="1" ht="15.95" customHeight="1" thickBot="1">
      <c r="B25" s="64"/>
      <c r="C25" s="60"/>
      <c r="D25" s="51">
        <f>IF(AND(YEAR(FebSun1+7)=$A$1,MONTH(FebSun1+7)=2),FebSun1+7,"")</f>
        <v>42407</v>
      </c>
      <c r="E25" s="51">
        <f>IF(AND(YEAR(FebSun1+8)=$A$1,MONTH(FebSun1+8)=2),FebSun1+8,"")</f>
        <v>42408</v>
      </c>
      <c r="F25" s="51">
        <f>IF(AND(YEAR(FebSun1+9)=$A$1,MONTH(FebSun1+9)=2),FebSun1+9,"")</f>
        <v>42409</v>
      </c>
      <c r="G25" s="51">
        <f>IF(AND(YEAR(FebSun1+10)=$A$1,MONTH(FebSun1+10)=2),FebSun1+10,"")</f>
        <v>42410</v>
      </c>
      <c r="H25" s="51">
        <f>IF(AND(YEAR(FebSun1+11)=$A$1,MONTH(FebSun1+11)=2),FebSun1+11,"")</f>
        <v>42411</v>
      </c>
      <c r="I25" s="51">
        <f>IF(AND(YEAR(FebSun1+12)=$A$1,MONTH(FebSun1+12)=2),FebSun1+12,"")</f>
        <v>42412</v>
      </c>
      <c r="J25" s="51">
        <f>IF(AND(YEAR(FebSun1+13)=$A$1,MONTH(FebSun1+13)=2),FebSun1+13,"")</f>
        <v>42413</v>
      </c>
      <c r="K25" s="49"/>
      <c r="L25" s="16"/>
      <c r="M25" s="60"/>
      <c r="N25" s="51">
        <f>IF(AND(YEAR(MaySun1+7)=$A$1,MONTH(MaySun1+7)=5),MaySun1+7,"")</f>
        <v>42498</v>
      </c>
      <c r="O25" s="51">
        <f>IF(AND(YEAR(MaySun1+8)=$A$1,MONTH(MaySun1+8)=5),MaySun1+8,"")</f>
        <v>42499</v>
      </c>
      <c r="P25" s="51">
        <f>IF(AND(YEAR(MaySun1+9)=$A$1,MONTH(MaySun1+9)=5),MaySun1+9,"")</f>
        <v>42500</v>
      </c>
      <c r="Q25" s="51">
        <f>IF(AND(YEAR(MaySun1+10)=$A$1,MONTH(MaySun1+10)=5),MaySun1+10,"")</f>
        <v>42501</v>
      </c>
      <c r="R25" s="51">
        <f>IF(AND(YEAR(MaySun1+11)=$A$1,MONTH(MaySun1+11)=5),MaySun1+11,"")</f>
        <v>42502</v>
      </c>
      <c r="S25" s="51">
        <f>IF(AND(YEAR(MaySun1+12)=$A$1,MONTH(MaySun1+12)=5),MaySun1+12,"")</f>
        <v>42503</v>
      </c>
      <c r="T25" s="51">
        <f>IF(AND(YEAR(MaySun1+13)=$A$1,MONTH(MaySun1+13)=5),MaySun1+13,"")</f>
        <v>42504</v>
      </c>
      <c r="U25" s="49"/>
      <c r="V25" s="16"/>
      <c r="W25" s="60"/>
      <c r="X25" s="51">
        <f>IF(AND(YEAR(AugSun1+7)=$A$1,MONTH(AugSun1+7)=8),AugSun1+7,"")</f>
        <v>42589</v>
      </c>
      <c r="Y25" s="51">
        <f>IF(AND(YEAR(AugSun1+8)=$A$1,MONTH(AugSun1+8)=8),AugSun1+8,"")</f>
        <v>42590</v>
      </c>
      <c r="Z25" s="51">
        <f>IF(AND(YEAR(AugSun1+9)=$A$1,MONTH(AugSun1+9)=8),AugSun1+9,"")</f>
        <v>42591</v>
      </c>
      <c r="AA25" s="51">
        <f>IF(AND(YEAR(AugSun1+10)=$A$1,MONTH(AugSun1+10)=8),AugSun1+10,"")</f>
        <v>42592</v>
      </c>
      <c r="AB25" s="51">
        <f>IF(AND(YEAR(AugSun1+11)=$A$1,MONTH(AugSun1+11)=8),AugSun1+11,"")</f>
        <v>42593</v>
      </c>
      <c r="AC25" s="51">
        <f>IF(AND(YEAR(AugSun1+12)=$A$1,MONTH(AugSun1+12)=8),AugSun1+12,"")</f>
        <v>42594</v>
      </c>
      <c r="AD25" s="51">
        <f>IF(AND(YEAR(AugSun1+13)=$A$1,MONTH(AugSun1+13)=8),AugSun1+13,"")</f>
        <v>42595</v>
      </c>
      <c r="AE25" s="49"/>
      <c r="AF25" s="16"/>
      <c r="AG25" s="60"/>
      <c r="AH25" s="51">
        <f>IF(AND(YEAR(NovSun1+7)=$A$1,MONTH(NovSun1+7)=11),NovSun1+7,"")</f>
        <v>42680</v>
      </c>
      <c r="AI25" s="51">
        <f>IF(AND(YEAR(NovSun1+8)=$A$1,MONTH(NovSun1+8)=11),NovSun1+8,"")</f>
        <v>42681</v>
      </c>
      <c r="AJ25" s="51">
        <f>IF(AND(YEAR(NovSun1+9)=$A$1,MONTH(NovSun1+9)=11),NovSun1+9,"")</f>
        <v>42682</v>
      </c>
      <c r="AK25" s="51">
        <f>IF(AND(YEAR(NovSun1+10)=$A$1,MONTH(NovSun1+10)=11),NovSun1+10,"")</f>
        <v>42683</v>
      </c>
      <c r="AL25" s="51">
        <f>IF(AND(YEAR(NovSun1+11)=$A$1,MONTH(NovSun1+11)=11),NovSun1+11,"")</f>
        <v>42684</v>
      </c>
      <c r="AM25" s="51">
        <f>IF(AND(YEAR(NovSun1+12)=$A$1,MONTH(NovSun1+12)=11),NovSun1+12,"")</f>
        <v>42685</v>
      </c>
      <c r="AN25" s="51">
        <f>IF(AND(YEAR(NovSun1+13)=$A$1,MONTH(NovSun1+13)=11),NovSun1+13,"")</f>
        <v>42686</v>
      </c>
      <c r="AO25" s="44"/>
      <c r="AP25" s="6"/>
      <c r="AR25" s="50" t="s">
        <v>40</v>
      </c>
      <c r="AS25" s="4">
        <v>1</v>
      </c>
      <c r="AT25" s="125" t="s">
        <v>28</v>
      </c>
      <c r="AU25" s="126"/>
      <c r="AZ25" s="6">
        <v>10.5</v>
      </c>
    </row>
    <row r="26" spans="2:52" s="6" customFormat="1" ht="15.95" customHeight="1" thickBot="1">
      <c r="B26" s="63"/>
      <c r="C26" s="62"/>
      <c r="D26" s="52"/>
      <c r="E26" s="52"/>
      <c r="F26" s="52"/>
      <c r="G26" s="52"/>
      <c r="H26" s="52"/>
      <c r="I26" s="52"/>
      <c r="J26" s="52"/>
      <c r="K26" s="83"/>
      <c r="L26" s="84"/>
      <c r="M26" s="62"/>
      <c r="N26" s="52"/>
      <c r="O26" s="52"/>
      <c r="P26" s="52"/>
      <c r="Q26" s="52"/>
      <c r="R26" s="52"/>
      <c r="S26" s="52"/>
      <c r="T26" s="52"/>
      <c r="U26" s="83"/>
      <c r="V26" s="84"/>
      <c r="W26" s="62"/>
      <c r="X26" s="52"/>
      <c r="Y26" s="52"/>
      <c r="Z26" s="52"/>
      <c r="AA26" s="52"/>
      <c r="AB26" s="52"/>
      <c r="AC26" s="52"/>
      <c r="AD26" s="52"/>
      <c r="AE26" s="83"/>
      <c r="AF26" s="84"/>
      <c r="AG26" s="62"/>
      <c r="AH26" s="52"/>
      <c r="AI26" s="52"/>
      <c r="AJ26" s="52"/>
      <c r="AK26" s="52"/>
      <c r="AL26" s="52"/>
      <c r="AM26" s="52"/>
      <c r="AN26" s="52"/>
      <c r="AO26" s="45"/>
      <c r="AP26" s="3"/>
      <c r="AR26" s="15">
        <f>COUNTIF(D7:J7,"NC")+COUNTIF(D9:J9,"NC")+COUNTIF(D11:J11,"NC")+COUNTIF(D13:J13,"NC")+COUNTIF(D17:J17,"NC")+COUNTIF(D24:J24,"NC")+COUNTIF(D26:J26,"NC")+COUNTIF(D28:J28,"NC")+COUNTIF(D30:J30,"NC")+COUNTIF(D32:J32,"NC")+COUNTIF(D43:J43,"NC")+COUNTIF(D45:J45,"NC")+COUNTIF(D47:J47,"NC")+COUNTIF(D49:J49,"NC")+COUNTIF(D51:J51,"NC")+COUNTIF(N7:T7,"NC")+COUNTIF(N9:T9,"NC")+COUNTIF(N11:T11,"NC")+COUNTIF(N13:T13,"NC")+COUNTIF(N17:T17,"NC")+COUNTIF(N24:T24,"NC")+COUNTIF(N26:T26,"NC")+COUNTIF(N28:T28,"NC")+COUNTIF(N30:T30,"NC")+COUNTIF(N34:T34,"NC")+COUNTIF(N43:T43,"NC")+COUNTIF(N45:T45,"NC")+COUNTIF(N47:T47,"NC")+COUNTIF(N49:T49,"NC")+COUNTIF(N51:T51,"NC")+COUNTIF(X7:AD7,"NC")+COUNTIF(X9:AD9,"NC")+COUNTIF(X11:AD11,"NC")+COUNTIF(X13:AD13,"NC")+COUNTIF(X17:AD17,"NC")+COUNTIF(X24:AD24,"NC")+COUNTIF(X26:AD26,"NC")+COUNTIF(X28:AD28,"NC")+COUNTIF(X30:AD30,"NC")+COUNTIF(X34:AD34,"NC")+COUNTIF(X43:AD43,"NC")+COUNTIF(X45:AD45,"NC")+COUNTIF(X47:AD47,"NC")+COUNTIF(X49:AD49,"NC")+COUNTIF(X51:AD51,"NC")+COUNTIF(AH7:AN7,"NC")+COUNTIF(AH9:AN9,"NC")+COUNTIF(AH11:AN11,"NC")+COUNTIF(AH13:AN13,"NC")+COUNTIF(AH17:AN17,"NC")+COUNTIF(AH24:AN24,"NC")+COUNTIF(AH26:AN26,"NC")+COUNTIF(AH28:AN28,"NC")+COUNTIF(AH30:AN30,"NC")+COUNTIF(AH34:AN34,"NC")+COUNTIF(AH43:AN43,"NC")+COUNTIF(AH45:AN45,"NC")+COUNTIF(AH47:AN47,"NC")+COUNTIF(AH49:AN49,"NC")+COUNTIF(AH51:AN51,"NC")+COUNTIF(D41:J41,"NC")+COUNTIF(N41:T41,"NC")+COUNTIF(X41:AD41,"NC")+COUNTIF(AH41:AN41,"NC")</f>
        <v>0</v>
      </c>
      <c r="AS26" s="14">
        <v>2</v>
      </c>
      <c r="AT26" s="121" t="s">
        <v>29</v>
      </c>
      <c r="AU26" s="122"/>
      <c r="AZ26" s="6">
        <v>11</v>
      </c>
    </row>
    <row r="27" spans="2:52" s="3" customFormat="1" ht="15.95" customHeight="1">
      <c r="B27" s="64"/>
      <c r="C27" s="60"/>
      <c r="D27" s="51">
        <f>IF(AND(YEAR(FebSun1+14)=$A$1,MONTH(FebSun1+14)=2),FebSun1+14,"")</f>
        <v>42414</v>
      </c>
      <c r="E27" s="51">
        <f>IF(AND(YEAR(FebSun1+15)=$A$1,MONTH(FebSun1+15)=2),FebSun1+15,"")</f>
        <v>42415</v>
      </c>
      <c r="F27" s="51">
        <f>IF(AND(YEAR(FebSun1+16)=$A$1,MONTH(FebSun1+16)=2),FebSun1+16,"")</f>
        <v>42416</v>
      </c>
      <c r="G27" s="51">
        <f>IF(AND(YEAR(FebSun1+17)=$A$1,MONTH(FebSun1+17)=2),FebSun1+17,"")</f>
        <v>42417</v>
      </c>
      <c r="H27" s="51">
        <f>IF(AND(YEAR(FebSun1+18)=$A$1,MONTH(FebSun1+18)=2),FebSun1+18,"")</f>
        <v>42418</v>
      </c>
      <c r="I27" s="51">
        <f>IF(AND(YEAR(FebSun1+19)=$A$1,MONTH(FebSun1+19)=2),FebSun1+19,"")</f>
        <v>42419</v>
      </c>
      <c r="J27" s="51">
        <f>IF(AND(YEAR(FebSun1+20)=$A$1,MONTH(FebSun1+20)=2),FebSun1+20,"")</f>
        <v>42420</v>
      </c>
      <c r="K27" s="49"/>
      <c r="L27" s="16"/>
      <c r="M27" s="60"/>
      <c r="N27" s="51">
        <f>IF(AND(YEAR(MaySun1+14)=$A$1,MONTH(MaySun1+14)=5),MaySun1+14,"")</f>
        <v>42505</v>
      </c>
      <c r="O27" s="51">
        <f>IF(AND(YEAR(MaySun1+15)=$A$1,MONTH(MaySun1+15)=5),MaySun1+15,"")</f>
        <v>42506</v>
      </c>
      <c r="P27" s="51">
        <f>IF(AND(YEAR(MaySun1+16)=$A$1,MONTH(MaySun1+16)=5),MaySun1+16,"")</f>
        <v>42507</v>
      </c>
      <c r="Q27" s="51">
        <f>IF(AND(YEAR(MaySun1+17)=$A$1,MONTH(MaySun1+17)=5),MaySun1+17,"")</f>
        <v>42508</v>
      </c>
      <c r="R27" s="51">
        <f>IF(AND(YEAR(MaySun1+18)=$A$1,MONTH(MaySun1+18)=5),MaySun1+18,"")</f>
        <v>42509</v>
      </c>
      <c r="S27" s="51">
        <f>IF(AND(YEAR(MaySun1+19)=$A$1,MONTH(MaySun1+19)=5),MaySun1+19,"")</f>
        <v>42510</v>
      </c>
      <c r="T27" s="51">
        <f>IF(AND(YEAR(MaySun1+20)=$A$1,MONTH(MaySun1+20)=5),MaySun1+20,"")</f>
        <v>42511</v>
      </c>
      <c r="U27" s="49"/>
      <c r="V27" s="16"/>
      <c r="W27" s="60"/>
      <c r="X27" s="51">
        <f>IF(AND(YEAR(AugSun1+14)=$A$1,MONTH(AugSun1+14)=8),AugSun1+14,"")</f>
        <v>42596</v>
      </c>
      <c r="Y27" s="51">
        <f>IF(AND(YEAR(AugSun1+15)=$A$1,MONTH(AugSun1+15)=8),AugSun1+15,"")</f>
        <v>42597</v>
      </c>
      <c r="Z27" s="51">
        <f>IF(AND(YEAR(AugSun1+16)=$A$1,MONTH(AugSun1+16)=8),AugSun1+16,"")</f>
        <v>42598</v>
      </c>
      <c r="AA27" s="51">
        <f>IF(AND(YEAR(AugSun1+17)=$A$1,MONTH(AugSun1+17)=8),AugSun1+17,"")</f>
        <v>42599</v>
      </c>
      <c r="AB27" s="51">
        <f>IF(AND(YEAR(AugSun1+18)=$A$1,MONTH(AugSun1+18)=8),AugSun1+18,"")</f>
        <v>42600</v>
      </c>
      <c r="AC27" s="51">
        <f>IF(AND(YEAR(AugSun1+19)=$A$1,MONTH(AugSun1+19)=8),AugSun1+19,"")</f>
        <v>42601</v>
      </c>
      <c r="AD27" s="51">
        <f>IF(AND(YEAR(AugSun1+20)=$A$1,MONTH(AugSun1+20)=8),AugSun1+20,"")</f>
        <v>42602</v>
      </c>
      <c r="AE27" s="49"/>
      <c r="AF27" s="16"/>
      <c r="AG27" s="60"/>
      <c r="AH27" s="51">
        <f>IF(AND(YEAR(NovSun1+14)=$A$1,MONTH(NovSun1+14)=11),NovSun1+14,"")</f>
        <v>42687</v>
      </c>
      <c r="AI27" s="51">
        <f>IF(AND(YEAR(NovSun1+15)=$A$1,MONTH(NovSun1+15)=11),NovSun1+15,"")</f>
        <v>42688</v>
      </c>
      <c r="AJ27" s="51">
        <f>IF(AND(YEAR(NovSun1+16)=$A$1,MONTH(NovSun1+16)=11),NovSun1+16,"")</f>
        <v>42689</v>
      </c>
      <c r="AK27" s="51">
        <f>IF(AND(YEAR(NovSun1+17)=$A$1,MONTH(NovSun1+17)=11),NovSun1+17,"")</f>
        <v>42690</v>
      </c>
      <c r="AL27" s="51">
        <f>IF(AND(YEAR(NovSun1+18)=$A$1,MONTH(NovSun1+18)=11),NovSun1+18,"")</f>
        <v>42691</v>
      </c>
      <c r="AM27" s="51">
        <f>IF(AND(YEAR(NovSun1+19)=$A$1,MONTH(NovSun1+19)=11),NovSun1+19,"")</f>
        <v>42692</v>
      </c>
      <c r="AN27" s="51">
        <f>IF(AND(YEAR(NovSun1+20)=$A$1,MONTH(NovSun1+20)=11),NovSun1+20,"")</f>
        <v>42693</v>
      </c>
      <c r="AO27" s="44"/>
      <c r="AP27" s="6"/>
      <c r="AR27" s="34"/>
      <c r="AS27" s="4">
        <v>3</v>
      </c>
      <c r="AT27" s="123" t="s">
        <v>30</v>
      </c>
      <c r="AU27" s="124"/>
      <c r="AZ27" s="6">
        <v>11.5</v>
      </c>
    </row>
    <row r="28" spans="2:52" s="6" customFormat="1" ht="15.95" customHeight="1">
      <c r="B28" s="63"/>
      <c r="C28" s="62"/>
      <c r="D28" s="52"/>
      <c r="E28" s="52"/>
      <c r="F28" s="52"/>
      <c r="G28" s="52"/>
      <c r="H28" s="52"/>
      <c r="I28" s="52"/>
      <c r="J28" s="52"/>
      <c r="K28" s="83"/>
      <c r="L28" s="84"/>
      <c r="M28" s="62"/>
      <c r="N28" s="52"/>
      <c r="O28" s="52"/>
      <c r="P28" s="52"/>
      <c r="Q28" s="52"/>
      <c r="R28" s="52"/>
      <c r="S28" s="52"/>
      <c r="T28" s="52"/>
      <c r="U28" s="83"/>
      <c r="V28" s="84"/>
      <c r="W28" s="62"/>
      <c r="X28" s="52"/>
      <c r="Y28" s="52"/>
      <c r="Z28" s="52"/>
      <c r="AA28" s="52"/>
      <c r="AB28" s="52"/>
      <c r="AC28" s="52"/>
      <c r="AD28" s="52"/>
      <c r="AE28" s="83"/>
      <c r="AF28" s="84"/>
      <c r="AG28" s="62"/>
      <c r="AH28" s="52"/>
      <c r="AI28" s="52"/>
      <c r="AJ28" s="52"/>
      <c r="AK28" s="52"/>
      <c r="AL28" s="52"/>
      <c r="AM28" s="52"/>
      <c r="AN28" s="52"/>
      <c r="AO28" s="45"/>
      <c r="AR28" s="3"/>
      <c r="AS28" s="3"/>
      <c r="AT28" s="3"/>
      <c r="AU28" s="3"/>
      <c r="AZ28" s="6">
        <v>12</v>
      </c>
    </row>
    <row r="29" spans="2:52" s="6" customFormat="1" ht="15.95" customHeight="1">
      <c r="B29" s="64"/>
      <c r="C29" s="60"/>
      <c r="D29" s="51">
        <f>IF(AND(YEAR(FebSun1+21)=$A$1,MONTH(FebSun1+21)=2),FebSun1+21,"")</f>
        <v>42421</v>
      </c>
      <c r="E29" s="51">
        <f>IF(AND(YEAR(FebSun1+22)=$A$1,MONTH(FebSun1+22)=2),FebSun1+22,"")</f>
        <v>42422</v>
      </c>
      <c r="F29" s="51">
        <f>IF(AND(YEAR(FebSun1+23)=$A$1,MONTH(FebSun1+23)=2),FebSun1+23,"")</f>
        <v>42423</v>
      </c>
      <c r="G29" s="51">
        <f>IF(AND(YEAR(FebSun1+24)=$A$1,MONTH(FebSun1+24)=2),FebSun1+24,"")</f>
        <v>42424</v>
      </c>
      <c r="H29" s="51">
        <f>IF(AND(YEAR(FebSun1+25)=$A$1,MONTH(FebSun1+25)=2),FebSun1+25,"")</f>
        <v>42425</v>
      </c>
      <c r="I29" s="51">
        <f>IF(AND(YEAR(FebSun1+26)=$A$1,MONTH(FebSun1+26)=2),FebSun1+26,"")</f>
        <v>42426</v>
      </c>
      <c r="J29" s="51">
        <f>IF(AND(YEAR(FebSun1+27)=$A$1,MONTH(FebSun1+27)=2),FebSun1+27,"")</f>
        <v>42427</v>
      </c>
      <c r="K29" s="49"/>
      <c r="L29" s="16"/>
      <c r="M29" s="60"/>
      <c r="N29" s="51">
        <f>IF(AND(YEAR(MaySun1+21)=$A$1,MONTH(MaySun1+21)=5),MaySun1+21,"")</f>
        <v>42512</v>
      </c>
      <c r="O29" s="51">
        <f>IF(AND(YEAR(MaySun1+22)=$A$1,MONTH(MaySun1+22)=5),MaySun1+22,"")</f>
        <v>42513</v>
      </c>
      <c r="P29" s="51">
        <f>IF(AND(YEAR(MaySun1+23)=$A$1,MONTH(MaySun1+23)=5),MaySun1+23,"")</f>
        <v>42514</v>
      </c>
      <c r="Q29" s="51">
        <f>IF(AND(YEAR(MaySun1+24)=$A$1,MONTH(MaySun1+24)=5),MaySun1+24,"")</f>
        <v>42515</v>
      </c>
      <c r="R29" s="51">
        <f>IF(AND(YEAR(MaySun1+25)=$A$1,MONTH(MaySun1+25)=5),MaySun1+25,"")</f>
        <v>42516</v>
      </c>
      <c r="S29" s="51">
        <f>IF(AND(YEAR(MaySun1+26)=$A$1,MONTH(MaySun1+26)=5),MaySun1+26,"")</f>
        <v>42517</v>
      </c>
      <c r="T29" s="51">
        <f>IF(AND(YEAR(MaySun1+27)=$A$1,MONTH(MaySun1+27)=5),MaySun1+27,"")</f>
        <v>42518</v>
      </c>
      <c r="U29" s="49"/>
      <c r="V29" s="16"/>
      <c r="W29" s="60"/>
      <c r="X29" s="51">
        <f>IF(AND(YEAR(AugSun1+21)=$A$1,MONTH(AugSun1+21)=8),AugSun1+21,"")</f>
        <v>42603</v>
      </c>
      <c r="Y29" s="51">
        <f>IF(AND(YEAR(AugSun1+22)=$A$1,MONTH(AugSun1+22)=8),AugSun1+22,"")</f>
        <v>42604</v>
      </c>
      <c r="Z29" s="51">
        <f>IF(AND(YEAR(AugSun1+23)=$A$1,MONTH(AugSun1+23)=8),AugSun1+23,"")</f>
        <v>42605</v>
      </c>
      <c r="AA29" s="51">
        <f>IF(AND(YEAR(AugSun1+24)=$A$1,MONTH(AugSun1+24)=8),AugSun1+24,"")</f>
        <v>42606</v>
      </c>
      <c r="AB29" s="51">
        <f>IF(AND(YEAR(AugSun1+25)=$A$1,MONTH(AugSun1+25)=8),AugSun1+25,"")</f>
        <v>42607</v>
      </c>
      <c r="AC29" s="51">
        <f>IF(AND(YEAR(AugSun1+26)=$A$1,MONTH(AugSun1+26)=8),AugSun1+26,"")</f>
        <v>42608</v>
      </c>
      <c r="AD29" s="51">
        <f>IF(AND(YEAR(AugSun1+27)=$A$1,MONTH(AugSun1+27)=8),AugSun1+27,"")</f>
        <v>42609</v>
      </c>
      <c r="AE29" s="49"/>
      <c r="AF29" s="16"/>
      <c r="AG29" s="60"/>
      <c r="AH29" s="51">
        <f>IF(AND(YEAR(NovSun1+21)=$A$1,MONTH(NovSun1+21)=11),NovSun1+21,"")</f>
        <v>42694</v>
      </c>
      <c r="AI29" s="51">
        <f>IF(AND(YEAR(NovSun1+22)=$A$1,MONTH(NovSun1+22)=11),NovSun1+22,"")</f>
        <v>42695</v>
      </c>
      <c r="AJ29" s="51">
        <f>IF(AND(YEAR(NovSun1+23)=$A$1,MONTH(NovSun1+23)=11),NovSun1+23,"")</f>
        <v>42696</v>
      </c>
      <c r="AK29" s="51">
        <f>IF(AND(YEAR(NovSun1+24)=$A$1,MONTH(NovSun1+24)=11),NovSun1+24,"")</f>
        <v>42697</v>
      </c>
      <c r="AL29" s="51">
        <f>IF(AND(YEAR(NovSun1+25)=$A$1,MONTH(NovSun1+25)=11),NovSun1+25,"")</f>
        <v>42698</v>
      </c>
      <c r="AM29" s="51">
        <f>IF(AND(YEAR(NovSun1+26)=$A$1,MONTH(NovSun1+26)=11),NovSun1+26,"")</f>
        <v>42699</v>
      </c>
      <c r="AN29" s="51">
        <f>IF(AND(YEAR(NovSun1+27)=$A$1,MONTH(NovSun1+27)=11),NovSun1+27,"")</f>
        <v>42700</v>
      </c>
      <c r="AO29" s="44"/>
      <c r="AZ29" s="18">
        <v>12.5</v>
      </c>
    </row>
    <row r="30" spans="2:52" s="6" customFormat="1" ht="15.95" customHeight="1">
      <c r="B30" s="64"/>
      <c r="C30" s="62"/>
      <c r="D30" s="52"/>
      <c r="E30" s="52"/>
      <c r="F30" s="52"/>
      <c r="G30" s="52"/>
      <c r="H30" s="52"/>
      <c r="I30" s="52"/>
      <c r="J30" s="52"/>
      <c r="K30" s="83"/>
      <c r="L30" s="84"/>
      <c r="M30" s="62"/>
      <c r="N30" s="52"/>
      <c r="O30" s="52"/>
      <c r="P30" s="52"/>
      <c r="Q30" s="52"/>
      <c r="R30" s="52"/>
      <c r="S30" s="52"/>
      <c r="T30" s="52"/>
      <c r="U30" s="83"/>
      <c r="V30" s="84"/>
      <c r="W30" s="62"/>
      <c r="X30" s="52"/>
      <c r="Y30" s="52"/>
      <c r="Z30" s="52"/>
      <c r="AA30" s="52"/>
      <c r="AB30" s="52"/>
      <c r="AC30" s="52"/>
      <c r="AD30" s="52"/>
      <c r="AE30" s="83"/>
      <c r="AF30" s="84"/>
      <c r="AG30" s="62"/>
      <c r="AH30" s="52"/>
      <c r="AI30" s="52"/>
      <c r="AJ30" s="52"/>
      <c r="AK30" s="52"/>
      <c r="AL30" s="52"/>
      <c r="AM30" s="52"/>
      <c r="AN30" s="52"/>
      <c r="AO30" s="45"/>
      <c r="AP30" s="3"/>
      <c r="AR30" s="3"/>
      <c r="AS30" s="3"/>
      <c r="AT30" s="3"/>
      <c r="AU30" s="3"/>
      <c r="AZ30" s="6">
        <v>13</v>
      </c>
    </row>
    <row r="31" spans="2:52" s="3" customFormat="1" ht="15.95" customHeight="1">
      <c r="B31" s="64"/>
      <c r="C31" s="62"/>
      <c r="D31" s="51">
        <f>IF(AND(YEAR(FebSun1+28)=$A$1,MONTH(FebSun1+28)=2),FebSun1+28,"")</f>
        <v>42428</v>
      </c>
      <c r="E31" s="51">
        <f>IF(AND(YEAR(FebSun1+29)=$A$1,MONTH(FebSun1+29)=2),FebSun1+29,"")</f>
        <v>42429</v>
      </c>
      <c r="F31" s="51" t="str">
        <f>IF(AND(YEAR(FebSun1+30)=$A$1,MONTH(FebSun1+30)=2),FebSun1+30,"")</f>
        <v/>
      </c>
      <c r="G31" s="51" t="str">
        <f>IF(AND(YEAR(FebSun1+31)=$A$1,MONTH(FebSun1+31)=2),FebSun1+31,"")</f>
        <v/>
      </c>
      <c r="H31" s="51" t="str">
        <f>IF(AND(YEAR(FebSun1+32)=$A$1,MONTH(FebSun1+32)=2),FebSun1+32,"")</f>
        <v/>
      </c>
      <c r="I31" s="51" t="str">
        <f>IF(AND(YEAR(FebSun1+33)=$A$1,MONTH(FebSun1+33)=2),FebSun1+33,"")</f>
        <v/>
      </c>
      <c r="J31" s="51" t="str">
        <f>IF(AND(YEAR(FebSun1+34)=$A$1,MONTH(FebSun1+34)=2),FebSun1+34,"")</f>
        <v/>
      </c>
      <c r="K31" s="49"/>
      <c r="L31" s="84"/>
      <c r="M31" s="62"/>
      <c r="N31" s="51">
        <f>IF(AND(YEAR(MaySun1+28)=$A$1,MONTH(MaySun1+28)=5),MaySun1+28,"")</f>
        <v>42519</v>
      </c>
      <c r="O31" s="51">
        <f>IF(AND(YEAR(MaySun1+29)=$A$1,MONTH(MaySun1+29)=5),MaySun1+29,"")</f>
        <v>42520</v>
      </c>
      <c r="P31" s="51">
        <f>IF(AND(YEAR(MaySun1+30)=$A$1,MONTH(MaySun1+30)=5),MaySun1+30,"")</f>
        <v>42521</v>
      </c>
      <c r="Q31" s="51" t="str">
        <f>IF(AND(YEAR(MaySun1+31)=$A$1,MONTH(MaySun1+31)=5),MaySun1+31,"")</f>
        <v/>
      </c>
      <c r="R31" s="51" t="str">
        <f>IF(AND(YEAR(MaySun1+32)=$A$1,MONTH(MaySun1+32)=5),MaySun1+32,"")</f>
        <v/>
      </c>
      <c r="S31" s="51" t="str">
        <f>IF(AND(YEAR(MaySun1+33)=$A$1,MONTH(MaySun1+33)=5),MaySun1+33,"")</f>
        <v/>
      </c>
      <c r="T31" s="51" t="str">
        <f>IF(AND(YEAR(MaySun1+34)=$A$1,MONTH(MaySun1+34)=5),MaySun1+34,"")</f>
        <v/>
      </c>
      <c r="U31" s="83"/>
      <c r="V31" s="84"/>
      <c r="W31" s="62"/>
      <c r="X31" s="51">
        <f>IF(AND(YEAR(AugSun1+28)=$A$1,MONTH(AugSun1+28)=8),AugSun1+28,"")</f>
        <v>42610</v>
      </c>
      <c r="Y31" s="51">
        <f>IF(AND(YEAR(AugSun1+29)=$A$1,MONTH(AugSun1+29)=8),AugSun1+29,"")</f>
        <v>42611</v>
      </c>
      <c r="Z31" s="51">
        <f>IF(AND(YEAR(AugSun1+30)=$A$1,MONTH(AugSun1+30)=8),AugSun1+30,"")</f>
        <v>42612</v>
      </c>
      <c r="AA31" s="51">
        <f>IF(AND(YEAR(AugSun1+31)=$A$1,MONTH(AugSun1+31)=8),AugSun1+31,"")</f>
        <v>42613</v>
      </c>
      <c r="AB31" s="51" t="str">
        <f>IF(AND(YEAR(AugSun1+32)=$A$1,MONTH(AugSun1+32)=8),AugSun1+32,"")</f>
        <v/>
      </c>
      <c r="AC31" s="51" t="str">
        <f>IF(AND(YEAR(AugSun1+33)=$A$1,MONTH(AugSun1+33)=8),AugSun1+33,"")</f>
        <v/>
      </c>
      <c r="AD31" s="51" t="str">
        <f>IF(AND(YEAR(AugSun1+34)=$A$1,MONTH(AugSun1+34)=8),AugSun1+34,"")</f>
        <v/>
      </c>
      <c r="AE31" s="83"/>
      <c r="AF31" s="84"/>
      <c r="AG31" s="62"/>
      <c r="AH31" s="51">
        <f>IF(AND(YEAR(NovSun1+28)=$A$1,MONTH(NovSun1+28)=11),NovSun1+28,"")</f>
        <v>42701</v>
      </c>
      <c r="AI31" s="51">
        <f>IF(AND(YEAR(NovSun1+29)=$A$1,MONTH(NovSun1+29)=11),NovSun1+29,"")</f>
        <v>42702</v>
      </c>
      <c r="AJ31" s="51">
        <f>IF(AND(YEAR(NovSun1+30)=$A$1,MONTH(NovSun1+30)=11),NovSun1+30,"")</f>
        <v>42703</v>
      </c>
      <c r="AK31" s="51">
        <f>IF(AND(YEAR(NovSun1+31)=$A$1,MONTH(NovSun1+31)=11),NovSun1+31,"")</f>
        <v>42704</v>
      </c>
      <c r="AL31" s="51" t="str">
        <f>IF(AND(YEAR(NovSun1+32)=$A$1,MONTH(NovSun1+32)=11),NovSun1+32,"")</f>
        <v/>
      </c>
      <c r="AM31" s="51" t="str">
        <f>IF(AND(YEAR(NovSun1+33)=$A$1,MONTH(NovSun1+33)=11),NovSun1+33,"")</f>
        <v/>
      </c>
      <c r="AN31" s="51" t="str">
        <f>IF(AND(YEAR(NovSun1+34)=$A$1,MONTH(NovSun1+34)=11),NovSun1+34,"")</f>
        <v/>
      </c>
      <c r="AO31" s="45"/>
      <c r="AP31" s="16"/>
      <c r="AR31" s="6"/>
      <c r="AS31" s="6"/>
      <c r="AT31" s="6"/>
      <c r="AU31" s="6"/>
      <c r="AZ31" s="6">
        <v>13.5</v>
      </c>
    </row>
    <row r="32" spans="1:52" s="3" customFormat="1" ht="15.95" customHeight="1">
      <c r="A32" s="6"/>
      <c r="B32" s="63"/>
      <c r="C32" s="62"/>
      <c r="D32" s="52"/>
      <c r="E32" s="52"/>
      <c r="F32" s="53"/>
      <c r="G32" s="53"/>
      <c r="H32" s="53"/>
      <c r="I32" s="53"/>
      <c r="J32" s="53"/>
      <c r="K32" s="55" t="s">
        <v>21</v>
      </c>
      <c r="L32" s="84"/>
      <c r="M32" s="62"/>
      <c r="N32" s="52"/>
      <c r="O32" s="52"/>
      <c r="P32" s="52"/>
      <c r="Q32" s="52"/>
      <c r="R32" s="52"/>
      <c r="S32" s="52"/>
      <c r="T32" s="52"/>
      <c r="U32" s="83"/>
      <c r="V32" s="84"/>
      <c r="W32" s="62"/>
      <c r="X32" s="52"/>
      <c r="Y32" s="52"/>
      <c r="Z32" s="52"/>
      <c r="AA32" s="52"/>
      <c r="AB32" s="52"/>
      <c r="AC32" s="52"/>
      <c r="AD32" s="52"/>
      <c r="AE32" s="83"/>
      <c r="AF32" s="84"/>
      <c r="AG32" s="62"/>
      <c r="AH32" s="52"/>
      <c r="AI32" s="52"/>
      <c r="AJ32" s="52"/>
      <c r="AK32" s="52"/>
      <c r="AL32" s="53"/>
      <c r="AM32" s="53"/>
      <c r="AN32" s="53"/>
      <c r="AO32" s="45"/>
      <c r="AP32" s="40"/>
      <c r="AQ32" s="16"/>
      <c r="AR32" s="12"/>
      <c r="AS32" s="6"/>
      <c r="AT32" s="6"/>
      <c r="AU32" s="6"/>
      <c r="AZ32" s="6">
        <v>14</v>
      </c>
    </row>
    <row r="33" spans="2:52" s="41" customFormat="1" ht="15.95" customHeight="1" thickBot="1">
      <c r="B33" s="64"/>
      <c r="C33" s="65" t="s">
        <v>35</v>
      </c>
      <c r="D33" s="110">
        <f>COUNTIF(D24:J24,"AC")+COUNTIF(D26:J26,"AC")+COUNTIF(D28:J28,"AC")+COUNTIF(D30:J30,"AC")+COUNTIF(D32:J32,"AC")</f>
        <v>0</v>
      </c>
      <c r="E33" s="111" t="s">
        <v>2</v>
      </c>
      <c r="F33" s="110">
        <f>COUNTIF(D24:J24,"T")+COUNTIF(D26:J26,"T")+COUNTIF(D28:J28,"T")+COUNTIF(D30:J30,"T")+COUNTIF(D32:J32,"T")</f>
        <v>0</v>
      </c>
      <c r="G33" s="111" t="s">
        <v>20</v>
      </c>
      <c r="H33" s="110">
        <f>COUNTIF(D24:J24,"MP")+COUNTIF(D26:J26,"MP")+COUNTIF(D28:J28,"MP")+COUNTIF(D30:J30,"MP")+COUNTIF(D32:J32,"MP")</f>
        <v>0</v>
      </c>
      <c r="I33" s="111" t="s">
        <v>22</v>
      </c>
      <c r="J33" s="110">
        <f>COUNTIF(D24:J24,"A")+COUNTIF(D26:J26,"A")+COUNTIF(D28:J28,"A")+COUNTIF(D30:J30,"A")+COUNTIF(D32:J32,"A")</f>
        <v>0</v>
      </c>
      <c r="K33" s="54">
        <f>SUM((F33*0.5)+(H33*0.5)+(J33))</f>
        <v>0</v>
      </c>
      <c r="L33" s="16"/>
      <c r="M33" s="60"/>
      <c r="N33" s="51" t="str">
        <f>IF(AND(YEAR(MaySun1+35)=$A$1,MONTH(MaySun1+35)=5),MaySun1+35,"")</f>
        <v/>
      </c>
      <c r="O33" s="51" t="str">
        <f>IF(AND(YEAR(MaySun1+36)=$A$1,MONTH(MaySun1+36)=5),MaySun1+36,"")</f>
        <v/>
      </c>
      <c r="P33" s="51" t="str">
        <f>IF(AND(YEAR(MaySun1+37)=$A$1,MONTH(MaySun1+37)=5),MaySun1+37,"")</f>
        <v/>
      </c>
      <c r="Q33" s="51" t="str">
        <f>IF(AND(YEAR(MaySun1+38)=$A$1,MONTH(MaySun1+38)=5),MaySun1+38,"")</f>
        <v/>
      </c>
      <c r="R33" s="51" t="str">
        <f>IF(AND(YEAR(MaySun1+39)=$A$1,MONTH(MaySun1+39)=5),MaySun1+39,"")</f>
        <v/>
      </c>
      <c r="S33" s="51" t="str">
        <f>IF(AND(YEAR(MaySun1+40)=$A$1,MONTH(MaySun1+40)=5),MaySun1+40,"")</f>
        <v/>
      </c>
      <c r="T33" s="51" t="str">
        <f>IF(AND(YEAR(MaySun1+41)=$A$1,MONTH(MaySun1+41)=5),MaySun1+41,"")</f>
        <v/>
      </c>
      <c r="U33" s="49"/>
      <c r="V33" s="16"/>
      <c r="W33" s="60"/>
      <c r="X33" s="51" t="str">
        <f>IF(AND(YEAR(AugSun1+35)=$A$1,MONTH(AugSun1+35)=8),AugSun1+35,"")</f>
        <v/>
      </c>
      <c r="Y33" s="51" t="str">
        <f>IF(AND(YEAR(AugSun1+36)=$A$1,MONTH(AugSun1+36)=8),AugSun1+36,"")</f>
        <v/>
      </c>
      <c r="Z33" s="51" t="str">
        <f>IF(AND(YEAR(AugSun1+37)=$A$1,MONTH(AugSun1+37)=8),AugSun1+37,"")</f>
        <v/>
      </c>
      <c r="AA33" s="51" t="str">
        <f>IF(AND(YEAR(AugSun1+38)=$A$1,MONTH(AugSun1+38)=8),AugSun1+38,"")</f>
        <v/>
      </c>
      <c r="AB33" s="51" t="str">
        <f>IF(AND(YEAR(AugSun1+39)=$A$1,MONTH(AugSun1+39)=8),AugSun1+39,"")</f>
        <v/>
      </c>
      <c r="AC33" s="51" t="str">
        <f>IF(AND(YEAR(AugSun1+40)=$A$1,MONTH(AugSun1+40)=8),AugSun1+40,"")</f>
        <v/>
      </c>
      <c r="AD33" s="51" t="str">
        <f>IF(AND(YEAR(AugSun1+41)=$A$1,MONTH(AugSun1+41)=8),AugSun1+41,"")</f>
        <v/>
      </c>
      <c r="AE33" s="49"/>
      <c r="AF33" s="16"/>
      <c r="AG33" s="60"/>
      <c r="AH33" s="51" t="str">
        <f>IF(AND(YEAR(NovSun1+35)=$A$1,MONTH(NovSun1+35)=11),NovSun1+35,"")</f>
        <v/>
      </c>
      <c r="AI33" s="51" t="str">
        <f>IF(AND(YEAR(NovSun1+36)=$A$1,MONTH(NovSun1+36)=11),NovSun1+36,"")</f>
        <v/>
      </c>
      <c r="AJ33" s="51" t="str">
        <f>IF(AND(YEAR(NovSun1+37)=$A$1,MONTH(NovSun1+37)=11),NovSun1+37,"")</f>
        <v/>
      </c>
      <c r="AK33" s="51" t="str">
        <f>IF(AND(YEAR(NovSun1+38)=$A$1,MONTH(NovSun1+38)=11),NovSun1+38,"")</f>
        <v/>
      </c>
      <c r="AL33" s="51" t="str">
        <f>IF(AND(YEAR(NovSun1+39)=$A$1,MONTH(NovSun1+39)=11),NovSun1+39,"")</f>
        <v/>
      </c>
      <c r="AM33" s="51" t="str">
        <f>IF(AND(YEAR(NovSun1+40)=$A$1,MONTH(NovSun1+40)=11),NovSun1+40,"")</f>
        <v/>
      </c>
      <c r="AN33" s="51" t="str">
        <f>IF(AND(YEAR(NovSun1+41)=$A$1,MONTH(NovSun1+41)=11),NovSun1+41,"")</f>
        <v/>
      </c>
      <c r="AO33" s="44"/>
      <c r="AP33" s="6"/>
      <c r="AQ33" s="40"/>
      <c r="AZ33" s="41">
        <v>14.5</v>
      </c>
    </row>
    <row r="34" spans="1:52" s="3" customFormat="1" ht="15.95" customHeight="1" thickTop="1">
      <c r="A34" s="6"/>
      <c r="B34" s="68"/>
      <c r="C34" s="69"/>
      <c r="D34" s="113"/>
      <c r="E34" s="113"/>
      <c r="F34" s="113"/>
      <c r="G34" s="113"/>
      <c r="H34" s="113"/>
      <c r="I34" s="113"/>
      <c r="J34" s="113"/>
      <c r="K34" s="40"/>
      <c r="L34" s="16"/>
      <c r="M34" s="62"/>
      <c r="N34" s="52"/>
      <c r="O34" s="53"/>
      <c r="P34" s="53"/>
      <c r="Q34" s="53"/>
      <c r="R34" s="53"/>
      <c r="S34" s="53"/>
      <c r="T34" s="53"/>
      <c r="U34" s="55" t="s">
        <v>21</v>
      </c>
      <c r="V34" s="16"/>
      <c r="W34" s="62"/>
      <c r="X34" s="52"/>
      <c r="Y34" s="52"/>
      <c r="Z34" s="53"/>
      <c r="AA34" s="53"/>
      <c r="AB34" s="53"/>
      <c r="AC34" s="53"/>
      <c r="AD34" s="53"/>
      <c r="AE34" s="55" t="s">
        <v>21</v>
      </c>
      <c r="AF34" s="16"/>
      <c r="AG34" s="62"/>
      <c r="AH34" s="53"/>
      <c r="AI34" s="53"/>
      <c r="AJ34" s="53"/>
      <c r="AK34" s="53"/>
      <c r="AL34" s="53"/>
      <c r="AM34" s="53"/>
      <c r="AN34" s="53"/>
      <c r="AO34" s="55" t="s">
        <v>21</v>
      </c>
      <c r="AQ34" s="6"/>
      <c r="AZ34" s="18">
        <v>15</v>
      </c>
    </row>
    <row r="35" spans="1:47" s="6" customFormat="1" ht="15.95" customHeight="1" thickBot="1">
      <c r="A35" s="3"/>
      <c r="B35" s="64"/>
      <c r="C35" s="70"/>
      <c r="D35" s="70"/>
      <c r="E35" s="70"/>
      <c r="F35" s="70"/>
      <c r="G35" s="70"/>
      <c r="H35" s="70"/>
      <c r="I35" s="70"/>
      <c r="J35" s="70"/>
      <c r="K35" s="40"/>
      <c r="L35" s="85"/>
      <c r="M35" s="65" t="s">
        <v>35</v>
      </c>
      <c r="N35" s="114">
        <f>COUNTIF(N24:T24,"AC")+COUNTIF(N26:T26,"AC")+COUNTIF(N28:T28,"AC")+COUNTIF(N30:T30,"AC")+COUNTIF(N32:T32,"AC")+COUNTIF(N34:T34,"AC")</f>
        <v>0</v>
      </c>
      <c r="O35" s="115" t="s">
        <v>2</v>
      </c>
      <c r="P35" s="114">
        <f>COUNTIF(N24:T24,"T")+COUNTIF(N26:T26,"T")+COUNTIF(N28:T28,"T")+COUNTIF(N30:T30,"T")+COUNTIF(N32:T32,"T")+COUNTIF(N34:T34,"T")</f>
        <v>0</v>
      </c>
      <c r="Q35" s="115" t="s">
        <v>20</v>
      </c>
      <c r="R35" s="114">
        <f>COUNTIF(N24:T24,"MP")+COUNTIF(N26:T26,"MP")+COUNTIF(N28:T28,"MP")+COUNTIF(N30:T30,"MP")+COUNTIF(N32:T32,"MP")+COUNTIF(N34:T34,"MP")</f>
        <v>0</v>
      </c>
      <c r="S35" s="115" t="s">
        <v>22</v>
      </c>
      <c r="T35" s="114">
        <f>COUNTIF(N24:T24,"A")+COUNTIF(N26:T26,"A")+COUNTIF(N28:T28,"A")+COUNTIF(N30:T30,"A")+COUNTIF(N32:T32,"A")+COUNTIF(N34:T34,"A")</f>
        <v>0</v>
      </c>
      <c r="U35" s="54">
        <f>SUM((P35*0.5)+(R35*0.5)+(T35))</f>
        <v>0</v>
      </c>
      <c r="V35" s="85"/>
      <c r="W35" s="65" t="s">
        <v>35</v>
      </c>
      <c r="X35" s="114">
        <f>COUNTIF(X24:AD24,"AC")+COUNTIF(X26:AD26,"AC")+COUNTIF(X28:AD28,"AC")+COUNTIF(X30:AD30,"AC")+COUNTIF(X32:AD32,"AC")+COUNTIF(X34:AD34,"AC")</f>
        <v>0</v>
      </c>
      <c r="Y35" s="115" t="s">
        <v>2</v>
      </c>
      <c r="Z35" s="114">
        <f>COUNTIF(X24:AD24,"T")+COUNTIF(X26:AD26,"T")+COUNTIF(X28:AD28,"T")+COUNTIF(X30:AD30,"T")+COUNTIF(X32:AD32,"T")+COUNTIF(X34:AD34,"T")</f>
        <v>0</v>
      </c>
      <c r="AA35" s="115" t="s">
        <v>20</v>
      </c>
      <c r="AB35" s="114">
        <f>COUNTIF(X24:AD24,"MP")+COUNTIF(X26:AD26,"MP")+COUNTIF(X28:AD28,"MP")+COUNTIF(X30:AD30,"MP")+COUNTIF(X32:AD32,"MP")+COUNTIF(X34:AD34,"MP")</f>
        <v>0</v>
      </c>
      <c r="AC35" s="115" t="s">
        <v>22</v>
      </c>
      <c r="AD35" s="114">
        <f>COUNTIF(X24:AD24,"A")+COUNTIF(X26:AD26,"A")+COUNTIF(X28:AD28,"A")+COUNTIF(X30:AD30,"A")+COUNTIF(X32:AD32,"A")+COUNTIF(X34:AD34,"A")</f>
        <v>0</v>
      </c>
      <c r="AE35" s="54">
        <f>SUM((Z35*0.5)+(AB35*0.5)+(AD35))</f>
        <v>0</v>
      </c>
      <c r="AF35" s="85"/>
      <c r="AG35" s="65" t="s">
        <v>35</v>
      </c>
      <c r="AH35" s="114">
        <f>COUNTIF(AH24:AN24,"AC")+COUNTIF(AH26:AN26,"AC")+COUNTIF(AH28:AN28,"AC")+COUNTIF(AH30:AN30,"AC")+COUNTIF(AH32:AN32,"AC")+COUNTIF(AH34:AN34,"AC")</f>
        <v>0</v>
      </c>
      <c r="AI35" s="115" t="s">
        <v>2</v>
      </c>
      <c r="AJ35" s="114">
        <f>COUNTIF(AH24:AN24,"T")+COUNTIF(AH26:AN26,"T")+COUNTIF(AH28:AN28,"T")+COUNTIF(AH30:AN30,"T")+COUNTIF(AH32:AN32,"T")+COUNTIF(AH34:AN34,"T")</f>
        <v>0</v>
      </c>
      <c r="AK35" s="115" t="s">
        <v>20</v>
      </c>
      <c r="AL35" s="114">
        <f>COUNTIF(AH24:AN24,"MP")+COUNTIF(AH26:AN26,"MP")+COUNTIF(AH28:AN28,"MP")+COUNTIF(AH30:AN30,"MP")+COUNTIF(AH32:AN32,"MP")+COUNTIF(AH34:AN34,"MP")</f>
        <v>0</v>
      </c>
      <c r="AM35" s="115" t="s">
        <v>22</v>
      </c>
      <c r="AN35" s="114">
        <f>COUNTIF(AH24:AN24,"A")+COUNTIF(AH26:AN26,"A")+COUNTIF(AH28:AN28,"A")+COUNTIF(AH30:AN30,"A")+COUNTIF(AH32:AN32,"A")+COUNTIF(AH34:AN34,"A")</f>
        <v>0</v>
      </c>
      <c r="AO35" s="54">
        <f>SUM((AJ35*0.5)+(AL35*0.5)+(AN35))</f>
        <v>0</v>
      </c>
      <c r="AP35" s="3"/>
      <c r="AQ35" s="3"/>
      <c r="AR35" s="3"/>
      <c r="AS35" s="3"/>
      <c r="AT35" s="3"/>
      <c r="AU35" s="3"/>
    </row>
    <row r="36" spans="2:47" s="3" customFormat="1" ht="15.95" customHeight="1" thickBot="1" thickTop="1">
      <c r="B36" s="63"/>
      <c r="C36" s="70"/>
      <c r="D36" s="70"/>
      <c r="E36" s="70"/>
      <c r="F36" s="70"/>
      <c r="G36" s="70"/>
      <c r="H36" s="70"/>
      <c r="I36" s="70"/>
      <c r="J36" s="70"/>
      <c r="K36" s="40"/>
      <c r="L36" s="85"/>
      <c r="M36" s="66"/>
      <c r="N36" s="66"/>
      <c r="O36" s="66"/>
      <c r="P36" s="66"/>
      <c r="Q36" s="66"/>
      <c r="R36" s="66"/>
      <c r="S36" s="66"/>
      <c r="T36" s="66"/>
      <c r="U36" s="40"/>
      <c r="V36" s="85"/>
      <c r="W36" s="66"/>
      <c r="X36" s="66"/>
      <c r="Y36" s="66"/>
      <c r="Z36" s="66"/>
      <c r="AA36" s="66"/>
      <c r="AB36" s="66"/>
      <c r="AC36" s="66"/>
      <c r="AD36" s="66"/>
      <c r="AE36" s="40"/>
      <c r="AF36" s="85"/>
      <c r="AG36" s="66"/>
      <c r="AH36" s="66"/>
      <c r="AI36" s="66"/>
      <c r="AJ36" s="66"/>
      <c r="AK36" s="66"/>
      <c r="AL36" s="66"/>
      <c r="AM36" s="66"/>
      <c r="AN36" s="66"/>
      <c r="AO36" s="39"/>
      <c r="AR36" s="6"/>
      <c r="AS36" s="6"/>
      <c r="AT36" s="6"/>
      <c r="AU36" s="6"/>
    </row>
    <row r="37" spans="2:47" s="6" customFormat="1" ht="15.95" customHeight="1" thickTop="1">
      <c r="B37" s="64"/>
      <c r="C37" s="71"/>
      <c r="D37" s="116"/>
      <c r="E37" s="116"/>
      <c r="F37" s="116"/>
      <c r="G37" s="116"/>
      <c r="H37" s="116"/>
      <c r="I37" s="116"/>
      <c r="J37" s="116"/>
      <c r="K37" s="88"/>
      <c r="L37" s="85"/>
      <c r="M37" s="67"/>
      <c r="N37" s="117"/>
      <c r="O37" s="117"/>
      <c r="P37" s="117"/>
      <c r="Q37" s="117"/>
      <c r="R37" s="117"/>
      <c r="S37" s="117"/>
      <c r="T37" s="117"/>
      <c r="U37" s="88"/>
      <c r="V37" s="85"/>
      <c r="W37" s="67"/>
      <c r="X37" s="117"/>
      <c r="Y37" s="117"/>
      <c r="Z37" s="117"/>
      <c r="AA37" s="117"/>
      <c r="AB37" s="117"/>
      <c r="AC37" s="117"/>
      <c r="AD37" s="117"/>
      <c r="AE37" s="88"/>
      <c r="AF37" s="85"/>
      <c r="AG37" s="67"/>
      <c r="AH37" s="117"/>
      <c r="AI37" s="117"/>
      <c r="AJ37" s="117"/>
      <c r="AK37" s="117"/>
      <c r="AL37" s="117"/>
      <c r="AM37" s="117"/>
      <c r="AN37" s="117"/>
      <c r="AO37" s="47"/>
      <c r="AR37" s="3"/>
      <c r="AS37" s="3"/>
      <c r="AT37" s="3"/>
      <c r="AU37" s="3"/>
    </row>
    <row r="38" spans="2:47" s="3" customFormat="1" ht="15.95" customHeight="1">
      <c r="B38" s="63"/>
      <c r="C38" s="62"/>
      <c r="D38" s="133" t="s">
        <v>7</v>
      </c>
      <c r="E38" s="134"/>
      <c r="F38" s="134"/>
      <c r="G38" s="134"/>
      <c r="H38" s="134"/>
      <c r="I38" s="134"/>
      <c r="J38" s="135"/>
      <c r="K38" s="86"/>
      <c r="L38" s="87"/>
      <c r="M38" s="62"/>
      <c r="N38" s="133" t="s">
        <v>10</v>
      </c>
      <c r="O38" s="134"/>
      <c r="P38" s="134"/>
      <c r="Q38" s="134"/>
      <c r="R38" s="134"/>
      <c r="S38" s="134"/>
      <c r="T38" s="135"/>
      <c r="U38" s="86"/>
      <c r="V38" s="87"/>
      <c r="W38" s="62"/>
      <c r="X38" s="133" t="s">
        <v>12</v>
      </c>
      <c r="Y38" s="134"/>
      <c r="Z38" s="134"/>
      <c r="AA38" s="134"/>
      <c r="AB38" s="134"/>
      <c r="AC38" s="134"/>
      <c r="AD38" s="135"/>
      <c r="AE38" s="91"/>
      <c r="AF38" s="87"/>
      <c r="AG38" s="62"/>
      <c r="AH38" s="133" t="s">
        <v>16</v>
      </c>
      <c r="AI38" s="134"/>
      <c r="AJ38" s="134"/>
      <c r="AK38" s="134"/>
      <c r="AL38" s="134"/>
      <c r="AM38" s="134"/>
      <c r="AN38" s="135"/>
      <c r="AO38" s="45"/>
      <c r="AR38" s="6"/>
      <c r="AS38" s="6"/>
      <c r="AT38" s="6"/>
      <c r="AU38" s="6"/>
    </row>
    <row r="39" spans="2:47" s="6" customFormat="1" ht="15.95" customHeight="1">
      <c r="B39" s="64"/>
      <c r="C39" s="60"/>
      <c r="D39" s="107" t="s">
        <v>0</v>
      </c>
      <c r="E39" s="107" t="s">
        <v>1</v>
      </c>
      <c r="F39" s="107" t="s">
        <v>2</v>
      </c>
      <c r="G39" s="107" t="s">
        <v>3</v>
      </c>
      <c r="H39" s="107" t="s">
        <v>2</v>
      </c>
      <c r="I39" s="107" t="s">
        <v>4</v>
      </c>
      <c r="J39" s="107" t="s">
        <v>0</v>
      </c>
      <c r="K39" s="81"/>
      <c r="L39" s="82"/>
      <c r="M39" s="60"/>
      <c r="N39" s="107" t="s">
        <v>0</v>
      </c>
      <c r="O39" s="107" t="s">
        <v>1</v>
      </c>
      <c r="P39" s="107" t="s">
        <v>2</v>
      </c>
      <c r="Q39" s="107" t="s">
        <v>3</v>
      </c>
      <c r="R39" s="107" t="s">
        <v>2</v>
      </c>
      <c r="S39" s="107" t="s">
        <v>4</v>
      </c>
      <c r="T39" s="107" t="s">
        <v>0</v>
      </c>
      <c r="U39" s="81"/>
      <c r="V39" s="82"/>
      <c r="W39" s="60"/>
      <c r="X39" s="107" t="s">
        <v>0</v>
      </c>
      <c r="Y39" s="107" t="s">
        <v>1</v>
      </c>
      <c r="Z39" s="107" t="s">
        <v>2</v>
      </c>
      <c r="AA39" s="107" t="s">
        <v>3</v>
      </c>
      <c r="AB39" s="107" t="s">
        <v>2</v>
      </c>
      <c r="AC39" s="107" t="s">
        <v>4</v>
      </c>
      <c r="AD39" s="107" t="s">
        <v>0</v>
      </c>
      <c r="AE39" s="81"/>
      <c r="AF39" s="82"/>
      <c r="AG39" s="60"/>
      <c r="AH39" s="107" t="s">
        <v>0</v>
      </c>
      <c r="AI39" s="107" t="s">
        <v>1</v>
      </c>
      <c r="AJ39" s="107" t="s">
        <v>2</v>
      </c>
      <c r="AK39" s="107" t="s">
        <v>3</v>
      </c>
      <c r="AL39" s="107" t="s">
        <v>2</v>
      </c>
      <c r="AM39" s="107" t="s">
        <v>4</v>
      </c>
      <c r="AN39" s="107" t="s">
        <v>0</v>
      </c>
      <c r="AO39" s="44"/>
      <c r="AR39" s="3"/>
      <c r="AS39" s="3"/>
      <c r="AT39" s="3"/>
      <c r="AU39" s="3"/>
    </row>
    <row r="40" spans="2:47" s="3" customFormat="1" ht="15.95" customHeight="1">
      <c r="B40" s="63"/>
      <c r="C40" s="60"/>
      <c r="D40" s="51" t="str">
        <f>IF(AND(YEAR(MarSun1)=$A$1,MONTH(MarSun1)=3),MarSun1,"")</f>
        <v/>
      </c>
      <c r="E40" s="51" t="str">
        <f>IF(AND(YEAR(MarSun1+1)=$A$1,MONTH(MarSun1+1)=3),MarSun1+1,"")</f>
        <v/>
      </c>
      <c r="F40" s="51">
        <f>IF(AND(YEAR(MarSun1+2)=$A$1,MONTH(MarSun1+2)=3),MarSun1+2,"")</f>
        <v>42430</v>
      </c>
      <c r="G40" s="51">
        <f>IF(AND(YEAR(MarSun1+3)=$A$1,MONTH(MarSun1+3)=3),MarSun1+3,"")</f>
        <v>42431</v>
      </c>
      <c r="H40" s="51">
        <f>IF(AND(YEAR(MarSun1+4)=$A$1,MONTH(MarSun1+4)=3),MarSun1+4,"")</f>
        <v>42432</v>
      </c>
      <c r="I40" s="51">
        <f>IF(AND(YEAR(MarSun1+5)=$A$1,MONTH(MarSun1+5)=3),MarSun1+5,"")</f>
        <v>42433</v>
      </c>
      <c r="J40" s="51">
        <f>IF(AND(YEAR(MarSun1+6)=$A$1,MONTH(MarSun1+6)=3),MarSun1+6,"")</f>
        <v>42434</v>
      </c>
      <c r="K40" s="49"/>
      <c r="L40" s="16"/>
      <c r="M40" s="60"/>
      <c r="N40" s="51" t="str">
        <f>IF(AND(YEAR(JunSun1)=$A$1,MONTH(JunSun1)=6),JunSun1,"")</f>
        <v/>
      </c>
      <c r="O40" s="51" t="str">
        <f>IF(AND(YEAR(JunSun1+1)=$A$1,MONTH(JunSun1+1)=6),JunSun1+1,"")</f>
        <v/>
      </c>
      <c r="P40" s="51" t="str">
        <f>IF(AND(YEAR(JunSun1+2)=$A$1,MONTH(JunSun1+2)=6),JunSun1+2,"")</f>
        <v/>
      </c>
      <c r="Q40" s="51">
        <f>IF(AND(YEAR(JunSun1+3)=$A$1,MONTH(JunSun1+3)=6),JunSun1+3,"")</f>
        <v>42522</v>
      </c>
      <c r="R40" s="51">
        <f>IF(AND(YEAR(JunSun1+4)=$A$1,MONTH(JunSun1+4)=6),JunSun1+4,"")</f>
        <v>42523</v>
      </c>
      <c r="S40" s="51">
        <f>IF(AND(YEAR(JunSun1+5)=$A$1,MONTH(JunSun1+5)=6),JunSun1+5,"")</f>
        <v>42524</v>
      </c>
      <c r="T40" s="51">
        <f>IF(AND(YEAR(JunSun1+6)=$A$1,MONTH(JunSun1+6)=6),JunSun1+6,"")</f>
        <v>42525</v>
      </c>
      <c r="U40" s="49"/>
      <c r="V40" s="16"/>
      <c r="W40" s="60"/>
      <c r="X40" s="51" t="str">
        <f>IF(AND(YEAR(SepSun1)=$A$1,MONTH(SepSun1)=9),SepSun1,"")</f>
        <v/>
      </c>
      <c r="Y40" s="51" t="str">
        <f>IF(AND(YEAR(SepSun1+1)=$A$1,MONTH(SepSun1+1)=9),SepSun1+1,"")</f>
        <v/>
      </c>
      <c r="Z40" s="51" t="str">
        <f>IF(AND(YEAR(SepSun1+2)=$A$1,MONTH(SepSun1+2)=9),SepSun1+2,"")</f>
        <v/>
      </c>
      <c r="AA40" s="51" t="str">
        <f>IF(AND(YEAR(SepSun1+3)=$A$1,MONTH(SepSun1+3)=9),SepSun1+3,"")</f>
        <v/>
      </c>
      <c r="AB40" s="51">
        <f>IF(AND(YEAR(SepSun1+4)=$A$1,MONTH(SepSun1+4)=9),SepSun1+4,"")</f>
        <v>42614</v>
      </c>
      <c r="AC40" s="51">
        <f>IF(AND(YEAR(SepSun1+5)=$A$1,MONTH(SepSun1+5)=9),SepSun1+5,"")</f>
        <v>42615</v>
      </c>
      <c r="AD40" s="51">
        <f>IF(AND(YEAR(SepSun1+6)=$A$1,MONTH(SepSun1+6)=9),SepSun1+6,"")</f>
        <v>42616</v>
      </c>
      <c r="AE40" s="49"/>
      <c r="AF40" s="16"/>
      <c r="AG40" s="60"/>
      <c r="AH40" s="51" t="str">
        <f>IF(AND(YEAR(DecSun1)=$A$1,MONTH(DecSun1)=12),DecSun1,"")</f>
        <v/>
      </c>
      <c r="AI40" s="51" t="str">
        <f>IF(AND(YEAR(DecSun1+1)=$A$1,MONTH(DecSun1+1)=12),DecSun1+1,"")</f>
        <v/>
      </c>
      <c r="AJ40" s="51" t="str">
        <f>IF(AND(YEAR(DecSun1+2)=$A$1,MONTH(DecSun1+2)=12),DecSun1+2,"")</f>
        <v/>
      </c>
      <c r="AK40" s="51" t="str">
        <f>IF(AND(YEAR(DecSun1+3)=$A$1,MONTH(DecSun1+3)=12),DecSun1+3,"")</f>
        <v/>
      </c>
      <c r="AL40" s="51">
        <f>IF(AND(YEAR(DecSun1+4)=$A$1,MONTH(DecSun1+4)=12),DecSun1+4,"")</f>
        <v>42705</v>
      </c>
      <c r="AM40" s="51">
        <f>IF(AND(YEAR(DecSun1+5)=$A$1,MONTH(DecSun1+5)=12),DecSun1+5,"")</f>
        <v>42706</v>
      </c>
      <c r="AN40" s="51">
        <f>IF(AND(YEAR(DecSun1+6)=$A$1,MONTH(DecSun1+6)=12),DecSun1+6,"")</f>
        <v>42707</v>
      </c>
      <c r="AO40" s="44"/>
      <c r="AR40" s="6"/>
      <c r="AS40" s="6"/>
      <c r="AT40" s="6"/>
      <c r="AU40" s="6"/>
    </row>
    <row r="41" spans="2:47" s="6" customFormat="1" ht="15.95" customHeight="1">
      <c r="B41" s="64"/>
      <c r="C41" s="62"/>
      <c r="D41" s="52"/>
      <c r="E41" s="52"/>
      <c r="F41" s="52"/>
      <c r="G41" s="52"/>
      <c r="H41" s="52"/>
      <c r="I41" s="52"/>
      <c r="J41" s="52"/>
      <c r="K41" s="83"/>
      <c r="L41" s="84"/>
      <c r="M41" s="62"/>
      <c r="N41" s="53"/>
      <c r="O41" s="52"/>
      <c r="P41" s="52"/>
      <c r="Q41" s="52"/>
      <c r="R41" s="52"/>
      <c r="S41" s="52"/>
      <c r="T41" s="52"/>
      <c r="U41" s="83"/>
      <c r="V41" s="84"/>
      <c r="W41" s="62"/>
      <c r="X41" s="53"/>
      <c r="Y41" s="53"/>
      <c r="Z41" s="52"/>
      <c r="AA41" s="52"/>
      <c r="AB41" s="52"/>
      <c r="AC41" s="52"/>
      <c r="AD41" s="52"/>
      <c r="AE41" s="83"/>
      <c r="AF41" s="84"/>
      <c r="AG41" s="62"/>
      <c r="AH41" s="53"/>
      <c r="AI41" s="53"/>
      <c r="AJ41" s="52"/>
      <c r="AK41" s="52"/>
      <c r="AL41" s="52"/>
      <c r="AM41" s="52"/>
      <c r="AN41" s="52"/>
      <c r="AO41" s="45"/>
      <c r="AR41" s="3"/>
      <c r="AS41" s="3"/>
      <c r="AT41" s="3"/>
      <c r="AU41" s="3"/>
    </row>
    <row r="42" spans="2:47" s="3" customFormat="1" ht="15.95" customHeight="1">
      <c r="B42" s="63"/>
      <c r="C42" s="60"/>
      <c r="D42" s="51">
        <f>IF(AND(YEAR(MarSun1+7)=$A$1,MONTH(MarSun1+7)=3),MarSun1+7,"")</f>
        <v>42435</v>
      </c>
      <c r="E42" s="51">
        <f>IF(AND(YEAR(MarSun1+8)=$A$1,MONTH(MarSun1+8)=3),MarSun1+8,"")</f>
        <v>42436</v>
      </c>
      <c r="F42" s="51">
        <f>IF(AND(YEAR(MarSun1+9)=$A$1,MONTH(MarSun1+9)=3),MarSun1+9,"")</f>
        <v>42437</v>
      </c>
      <c r="G42" s="51">
        <f>IF(AND(YEAR(MarSun1+10)=$A$1,MONTH(MarSun1+10)=3),MarSun1+10,"")</f>
        <v>42438</v>
      </c>
      <c r="H42" s="51">
        <f>IF(AND(YEAR(MarSun1+11)=$A$1,MONTH(MarSun1+11)=3),MarSun1+11,"")</f>
        <v>42439</v>
      </c>
      <c r="I42" s="51">
        <f>IF(AND(YEAR(MarSun1+12)=$A$1,MONTH(MarSun1+12)=3),MarSun1+12,"")</f>
        <v>42440</v>
      </c>
      <c r="J42" s="51">
        <f>IF(AND(YEAR(MarSun1+13)=$A$1,MONTH(MarSun1+13)=3),MarSun1+13,"")</f>
        <v>42441</v>
      </c>
      <c r="K42" s="49"/>
      <c r="L42" s="16"/>
      <c r="M42" s="60"/>
      <c r="N42" s="51">
        <f>IF(AND(YEAR(JunSun1+7)=$A$1,MONTH(JunSun1+7)=6),JunSun1+7,"")</f>
        <v>42526</v>
      </c>
      <c r="O42" s="51">
        <f>IF(AND(YEAR(JunSun1+8)=$A$1,MONTH(JunSun1+8)=6),JunSun1+8,"")</f>
        <v>42527</v>
      </c>
      <c r="P42" s="51">
        <f>IF(AND(YEAR(JunSun1+9)=$A$1,MONTH(JunSun1+9)=6),JunSun1+9,"")</f>
        <v>42528</v>
      </c>
      <c r="Q42" s="51">
        <f>IF(AND(YEAR(JunSun1+10)=$A$1,MONTH(JunSun1+10)=6),JunSun1+10,"")</f>
        <v>42529</v>
      </c>
      <c r="R42" s="51">
        <f>IF(AND(YEAR(JunSun1+11)=$A$1,MONTH(JunSun1+11)=6),JunSun1+11,"")</f>
        <v>42530</v>
      </c>
      <c r="S42" s="51">
        <f>IF(AND(YEAR(JunSun1+12)=$A$1,MONTH(JunSun1+12)=6),JunSun1+12,"")</f>
        <v>42531</v>
      </c>
      <c r="T42" s="51">
        <f>IF(AND(YEAR(JunSun1+13)=$A$1,MONTH(JunSun1+13)=6),JunSun1+13,"")</f>
        <v>42532</v>
      </c>
      <c r="U42" s="49"/>
      <c r="V42" s="16"/>
      <c r="W42" s="60"/>
      <c r="X42" s="51">
        <f>IF(AND(YEAR(SepSun1+7)=$A$1,MONTH(SepSun1+7)=9),SepSun1+7,"")</f>
        <v>42617</v>
      </c>
      <c r="Y42" s="51">
        <f>IF(AND(YEAR(SepSun1+8)=$A$1,MONTH(SepSun1+8)=9),SepSun1+8,"")</f>
        <v>42618</v>
      </c>
      <c r="Z42" s="51">
        <f>IF(AND(YEAR(SepSun1+9)=$A$1,MONTH(SepSun1+9)=9),SepSun1+9,"")</f>
        <v>42619</v>
      </c>
      <c r="AA42" s="51">
        <f>IF(AND(YEAR(SepSun1+10)=$A$1,MONTH(SepSun1+10)=9),SepSun1+10,"")</f>
        <v>42620</v>
      </c>
      <c r="AB42" s="51">
        <f>IF(AND(YEAR(SepSun1+11)=$A$1,MONTH(SepSun1+11)=9),SepSun1+11,"")</f>
        <v>42621</v>
      </c>
      <c r="AC42" s="51">
        <f>IF(AND(YEAR(SepSun1+12)=$A$1,MONTH(SepSun1+12)=9),SepSun1+12,"")</f>
        <v>42622</v>
      </c>
      <c r="AD42" s="51">
        <f>IF(AND(YEAR(SepSun1+13)=$A$1,MONTH(SepSun1+13)=9),SepSun1+13,"")</f>
        <v>42623</v>
      </c>
      <c r="AE42" s="49"/>
      <c r="AF42" s="16"/>
      <c r="AG42" s="60"/>
      <c r="AH42" s="51">
        <f>IF(AND(YEAR(DecSun1+7)=$A$1,MONTH(DecSun1+7)=12),DecSun1+7,"")</f>
        <v>42708</v>
      </c>
      <c r="AI42" s="51">
        <f>IF(AND(YEAR(DecSun1+8)=$A$1,MONTH(DecSun1+8)=12),DecSun1+8,"")</f>
        <v>42709</v>
      </c>
      <c r="AJ42" s="51">
        <f>IF(AND(YEAR(DecSun1+9)=$A$1,MONTH(DecSun1+9)=12),DecSun1+9,"")</f>
        <v>42710</v>
      </c>
      <c r="AK42" s="51">
        <f>IF(AND(YEAR(DecSun1+10)=$A$1,MONTH(DecSun1+10)=12),DecSun1+10,"")</f>
        <v>42711</v>
      </c>
      <c r="AL42" s="51">
        <f>IF(AND(YEAR(DecSun1+11)=$A$1,MONTH(DecSun1+11)=12),DecSun1+11,"")</f>
        <v>42712</v>
      </c>
      <c r="AM42" s="51">
        <f>IF(AND(YEAR(DecSun1+12)=$A$1,MONTH(DecSun1+12)=12),DecSun1+12,"")</f>
        <v>42713</v>
      </c>
      <c r="AN42" s="51">
        <f>IF(AND(YEAR(DecSun1+13)=$A$1,MONTH(DecSun1+13)=12),DecSun1+13,"")</f>
        <v>42714</v>
      </c>
      <c r="AO42" s="44"/>
      <c r="AR42" s="6"/>
      <c r="AS42" s="6"/>
      <c r="AT42" s="6"/>
      <c r="AU42" s="6"/>
    </row>
    <row r="43" spans="2:47" s="6" customFormat="1" ht="15.95" customHeight="1">
      <c r="B43" s="64"/>
      <c r="C43" s="62"/>
      <c r="D43" s="52"/>
      <c r="E43" s="52"/>
      <c r="F43" s="52"/>
      <c r="G43" s="52"/>
      <c r="H43" s="52"/>
      <c r="I43" s="52"/>
      <c r="J43" s="52"/>
      <c r="K43" s="83"/>
      <c r="L43" s="84"/>
      <c r="M43" s="62"/>
      <c r="N43" s="52"/>
      <c r="O43" s="52"/>
      <c r="P43" s="52"/>
      <c r="Q43" s="52"/>
      <c r="R43" s="52"/>
      <c r="S43" s="52"/>
      <c r="T43" s="52"/>
      <c r="U43" s="83"/>
      <c r="V43" s="84"/>
      <c r="W43" s="62"/>
      <c r="X43" s="52"/>
      <c r="Y43" s="52"/>
      <c r="Z43" s="52"/>
      <c r="AA43" s="52"/>
      <c r="AB43" s="52"/>
      <c r="AC43" s="52"/>
      <c r="AD43" s="52"/>
      <c r="AE43" s="83"/>
      <c r="AF43" s="84"/>
      <c r="AG43" s="62"/>
      <c r="AH43" s="52"/>
      <c r="AI43" s="52"/>
      <c r="AJ43" s="52"/>
      <c r="AK43" s="52"/>
      <c r="AL43" s="52"/>
      <c r="AM43" s="52"/>
      <c r="AN43" s="52"/>
      <c r="AO43" s="45"/>
      <c r="AR43" s="3"/>
      <c r="AS43" s="3"/>
      <c r="AT43" s="3"/>
      <c r="AU43" s="3"/>
    </row>
    <row r="44" spans="1:47" ht="15.95" customHeight="1">
      <c r="A44" s="3"/>
      <c r="B44" s="63"/>
      <c r="C44" s="60"/>
      <c r="D44" s="51">
        <f>IF(AND(YEAR(MarSun1+14)=$A$1,MONTH(MarSun1+14)=3),MarSun1+14,"")</f>
        <v>42442</v>
      </c>
      <c r="E44" s="51">
        <f>IF(AND(YEAR(MarSun1+15)=$A$1,MONTH(MarSun1+15)=3),MarSun1+15,"")</f>
        <v>42443</v>
      </c>
      <c r="F44" s="51">
        <f>IF(AND(YEAR(MarSun1+16)=$A$1,MONTH(MarSun1+16)=3),MarSun1+16,"")</f>
        <v>42444</v>
      </c>
      <c r="G44" s="51">
        <f>IF(AND(YEAR(MarSun1+17)=$A$1,MONTH(MarSun1+17)=3),MarSun1+17,"")</f>
        <v>42445</v>
      </c>
      <c r="H44" s="51">
        <f>IF(AND(YEAR(MarSun1+18)=$A$1,MONTH(MarSun1+18)=3),MarSun1+18,"")</f>
        <v>42446</v>
      </c>
      <c r="I44" s="51">
        <f>IF(AND(YEAR(MarSun1+19)=$A$1,MONTH(MarSun1+19)=3),MarSun1+19,"")</f>
        <v>42447</v>
      </c>
      <c r="J44" s="51">
        <f>IF(AND(YEAR(MarSun1+20)=$A$1,MONTH(MarSun1+20)=3),MarSun1+20,"")</f>
        <v>42448</v>
      </c>
      <c r="K44" s="49"/>
      <c r="L44" s="16"/>
      <c r="M44" s="60"/>
      <c r="N44" s="51">
        <f>IF(AND(YEAR(JunSun1+14)=$A$1,MONTH(JunSun1+14)=6),JunSun1+14,"")</f>
        <v>42533</v>
      </c>
      <c r="O44" s="51">
        <f>IF(AND(YEAR(JunSun1+15)=$A$1,MONTH(JunSun1+15)=6),JunSun1+15,"")</f>
        <v>42534</v>
      </c>
      <c r="P44" s="51">
        <f>IF(AND(YEAR(JunSun1+16)=$A$1,MONTH(JunSun1+16)=6),JunSun1+16,"")</f>
        <v>42535</v>
      </c>
      <c r="Q44" s="51">
        <f>IF(AND(YEAR(JunSun1+17)=$A$1,MONTH(JunSun1+17)=6),JunSun1+17,"")</f>
        <v>42536</v>
      </c>
      <c r="R44" s="51">
        <f>IF(AND(YEAR(JunSun1+18)=$A$1,MONTH(JunSun1+18)=6),JunSun1+18,"")</f>
        <v>42537</v>
      </c>
      <c r="S44" s="51">
        <f>IF(AND(YEAR(JunSun1+19)=$A$1,MONTH(JunSun1+19)=6),JunSun1+19,"")</f>
        <v>42538</v>
      </c>
      <c r="T44" s="51">
        <f>IF(AND(YEAR(JunSun1+20)=$A$1,MONTH(JunSun1+20)=6),JunSun1+20,"")</f>
        <v>42539</v>
      </c>
      <c r="U44" s="49"/>
      <c r="V44" s="16"/>
      <c r="W44" s="60"/>
      <c r="X44" s="51">
        <f>IF(AND(YEAR(SepSun1+14)=$A$1,MONTH(SepSun1+14)=9),SepSun1+14,"")</f>
        <v>42624</v>
      </c>
      <c r="Y44" s="51">
        <f>IF(AND(YEAR(SepSun1+15)=$A$1,MONTH(SepSun1+15)=9),SepSun1+15,"")</f>
        <v>42625</v>
      </c>
      <c r="Z44" s="51">
        <f>IF(AND(YEAR(SepSun1+16)=$A$1,MONTH(SepSun1+16)=9),SepSun1+16,"")</f>
        <v>42626</v>
      </c>
      <c r="AA44" s="51">
        <f>IF(AND(YEAR(SepSun1+17)=$A$1,MONTH(SepSun1+17)=9),SepSun1+17,"")</f>
        <v>42627</v>
      </c>
      <c r="AB44" s="51">
        <f>IF(AND(YEAR(SepSun1+18)=$A$1,MONTH(SepSun1+18)=9),SepSun1+18,"")</f>
        <v>42628</v>
      </c>
      <c r="AC44" s="51">
        <f>IF(AND(YEAR(SepSun1+19)=$A$1,MONTH(SepSun1+19)=9),SepSun1+19,"")</f>
        <v>42629</v>
      </c>
      <c r="AD44" s="51">
        <f>IF(AND(YEAR(SepSun1+20)=$A$1,MONTH(SepSun1+20)=9),SepSun1+20,"")</f>
        <v>42630</v>
      </c>
      <c r="AE44" s="49"/>
      <c r="AF44" s="16"/>
      <c r="AG44" s="60"/>
      <c r="AH44" s="51">
        <f>IF(AND(YEAR(DecSun1+14)=$A$1,MONTH(DecSun1+14)=12),DecSun1+14,"")</f>
        <v>42715</v>
      </c>
      <c r="AI44" s="51">
        <f>IF(AND(YEAR(DecSun1+15)=$A$1,MONTH(DecSun1+15)=12),DecSun1+15,"")</f>
        <v>42716</v>
      </c>
      <c r="AJ44" s="51">
        <f>IF(AND(YEAR(DecSun1+16)=$A$1,MONTH(DecSun1+16)=12),DecSun1+16,"")</f>
        <v>42717</v>
      </c>
      <c r="AK44" s="51">
        <f>IF(AND(YEAR(DecSun1+17)=$A$1,MONTH(DecSun1+17)=12),DecSun1+17,"")</f>
        <v>42718</v>
      </c>
      <c r="AL44" s="51">
        <f>IF(AND(YEAR(DecSun1+18)=$A$1,MONTH(DecSun1+18)=12),DecSun1+18,"")</f>
        <v>42719</v>
      </c>
      <c r="AM44" s="51">
        <f>IF(AND(YEAR(DecSun1+19)=$A$1,MONTH(DecSun1+19)=12),DecSun1+19,"")</f>
        <v>42720</v>
      </c>
      <c r="AN44" s="51">
        <f>IF(AND(YEAR(DecSun1+20)=$A$1,MONTH(DecSun1+20)=12),DecSun1+20,"")</f>
        <v>42721</v>
      </c>
      <c r="AO44" s="44"/>
      <c r="AP44" s="3"/>
      <c r="AQ44" s="3"/>
      <c r="AR44" s="6"/>
      <c r="AS44" s="6"/>
      <c r="AT44" s="6"/>
      <c r="AU44" s="6"/>
    </row>
    <row r="45" spans="1:47" ht="15.95" customHeight="1">
      <c r="A45" s="6"/>
      <c r="B45" s="64"/>
      <c r="C45" s="62"/>
      <c r="D45" s="52"/>
      <c r="E45" s="52"/>
      <c r="F45" s="52"/>
      <c r="G45" s="52"/>
      <c r="H45" s="52"/>
      <c r="I45" s="52"/>
      <c r="J45" s="52"/>
      <c r="K45" s="83"/>
      <c r="L45" s="84"/>
      <c r="M45" s="62"/>
      <c r="N45" s="52"/>
      <c r="O45" s="52"/>
      <c r="P45" s="52"/>
      <c r="Q45" s="52"/>
      <c r="R45" s="52"/>
      <c r="S45" s="52"/>
      <c r="T45" s="52"/>
      <c r="U45" s="83"/>
      <c r="V45" s="84"/>
      <c r="W45" s="62"/>
      <c r="X45" s="52"/>
      <c r="Y45" s="52"/>
      <c r="Z45" s="52"/>
      <c r="AA45" s="52"/>
      <c r="AB45" s="52"/>
      <c r="AC45" s="52"/>
      <c r="AD45" s="52"/>
      <c r="AE45" s="83"/>
      <c r="AF45" s="84"/>
      <c r="AG45" s="62"/>
      <c r="AH45" s="52"/>
      <c r="AI45" s="52"/>
      <c r="AJ45" s="52"/>
      <c r="AK45" s="52"/>
      <c r="AL45" s="52"/>
      <c r="AM45" s="52"/>
      <c r="AN45" s="52"/>
      <c r="AO45" s="45"/>
      <c r="AP45" s="16"/>
      <c r="AQ45" s="6"/>
      <c r="AR45" s="3"/>
      <c r="AS45" s="3"/>
      <c r="AT45" s="3"/>
      <c r="AU45" s="3"/>
    </row>
    <row r="46" spans="1:47" ht="15.95" customHeight="1">
      <c r="A46" s="3"/>
      <c r="B46" s="63"/>
      <c r="C46" s="60"/>
      <c r="D46" s="51">
        <f>IF(AND(YEAR(MarSun1+21)=$A$1,MONTH(MarSun1+21)=3),MarSun1+21,"")</f>
        <v>42449</v>
      </c>
      <c r="E46" s="51">
        <f>IF(AND(YEAR(MarSun1+22)=$A$1,MONTH(MarSun1+22)=3),MarSun1+22,"")</f>
        <v>42450</v>
      </c>
      <c r="F46" s="51">
        <f>IF(AND(YEAR(MarSun1+23)=$A$1,MONTH(MarSun1+23)=3),MarSun1+23,"")</f>
        <v>42451</v>
      </c>
      <c r="G46" s="51">
        <f>IF(AND(YEAR(MarSun1+24)=$A$1,MONTH(MarSun1+24)=3),MarSun1+24,"")</f>
        <v>42452</v>
      </c>
      <c r="H46" s="51">
        <f>IF(AND(YEAR(MarSun1+25)=$A$1,MONTH(MarSun1+25)=3),MarSun1+25,"")</f>
        <v>42453</v>
      </c>
      <c r="I46" s="51">
        <f>IF(AND(YEAR(MarSun1+26)=$A$1,MONTH(MarSun1+26)=3),MarSun1+26,"")</f>
        <v>42454</v>
      </c>
      <c r="J46" s="51">
        <f>IF(AND(YEAR(MarSun1+27)=$A$1,MONTH(MarSun1+27)=3),MarSun1+27,"")</f>
        <v>42455</v>
      </c>
      <c r="K46" s="49"/>
      <c r="L46" s="16"/>
      <c r="M46" s="60"/>
      <c r="N46" s="51">
        <f>IF(AND(YEAR(JunSun1+21)=$A$1,MONTH(JunSun1+21)=6),JunSun1+21,"")</f>
        <v>42540</v>
      </c>
      <c r="O46" s="51">
        <f>IF(AND(YEAR(JunSun1+22)=$A$1,MONTH(JunSun1+22)=6),JunSun1+22,"")</f>
        <v>42541</v>
      </c>
      <c r="P46" s="51">
        <f>IF(AND(YEAR(JunSun1+23)=$A$1,MONTH(JunSun1+23)=6),JunSun1+23,"")</f>
        <v>42542</v>
      </c>
      <c r="Q46" s="51">
        <f>IF(AND(YEAR(JunSun1+24)=$A$1,MONTH(JunSun1+24)=6),JunSun1+24,"")</f>
        <v>42543</v>
      </c>
      <c r="R46" s="51">
        <f>IF(AND(YEAR(JunSun1+25)=$A$1,MONTH(JunSun1+25)=6),JunSun1+25,"")</f>
        <v>42544</v>
      </c>
      <c r="S46" s="51">
        <f>IF(AND(YEAR(JunSun1+26)=$A$1,MONTH(JunSun1+26)=6),JunSun1+26,"")</f>
        <v>42545</v>
      </c>
      <c r="T46" s="51">
        <f>IF(AND(YEAR(JunSun1+27)=$A$1,MONTH(JunSun1+27)=6),JunSun1+27,"")</f>
        <v>42546</v>
      </c>
      <c r="U46" s="49"/>
      <c r="V46" s="16"/>
      <c r="W46" s="60"/>
      <c r="X46" s="51">
        <f>IF(AND(YEAR(SepSun1+21)=$A$1,MONTH(SepSun1+21)=9),SepSun1+21,"")</f>
        <v>42631</v>
      </c>
      <c r="Y46" s="51">
        <f>IF(AND(YEAR(SepSun1+22)=$A$1,MONTH(SepSun1+22)=9),SepSun1+22,"")</f>
        <v>42632</v>
      </c>
      <c r="Z46" s="51">
        <f>IF(AND(YEAR(SepSun1+23)=$A$1,MONTH(SepSun1+23)=9),SepSun1+23,"")</f>
        <v>42633</v>
      </c>
      <c r="AA46" s="51">
        <f>IF(AND(YEAR(SepSun1+24)=$A$1,MONTH(SepSun1+24)=9),SepSun1+24,"")</f>
        <v>42634</v>
      </c>
      <c r="AB46" s="51">
        <f>IF(AND(YEAR(SepSun1+25)=$A$1,MONTH(SepSun1+25)=9),SepSun1+25,"")</f>
        <v>42635</v>
      </c>
      <c r="AC46" s="51">
        <f>IF(AND(YEAR(SepSun1+26)=$A$1,MONTH(SepSun1+26)=9),SepSun1+26,"")</f>
        <v>42636</v>
      </c>
      <c r="AD46" s="51">
        <f>IF(AND(YEAR(SepSun1+27)=$A$1,MONTH(SepSun1+27)=9),SepSun1+27,"")</f>
        <v>42637</v>
      </c>
      <c r="AE46" s="49"/>
      <c r="AF46" s="16"/>
      <c r="AG46" s="60"/>
      <c r="AH46" s="51">
        <f>IF(AND(YEAR(DecSun1+21)=$A$1,MONTH(DecSun1+21)=12),DecSun1+21,"")</f>
        <v>42722</v>
      </c>
      <c r="AI46" s="51">
        <f>IF(AND(YEAR(DecSun1+22)=$A$1,MONTH(DecSun1+22)=12),DecSun1+22,"")</f>
        <v>42723</v>
      </c>
      <c r="AJ46" s="51">
        <f>IF(AND(YEAR(DecSun1+23)=$A$1,MONTH(DecSun1+23)=12),DecSun1+23,"")</f>
        <v>42724</v>
      </c>
      <c r="AK46" s="51">
        <f>IF(AND(YEAR(DecSun1+24)=$A$1,MONTH(DecSun1+24)=12),DecSun1+24,"")</f>
        <v>42725</v>
      </c>
      <c r="AL46" s="51">
        <f>IF(AND(YEAR(DecSun1+25)=$A$1,MONTH(DecSun1+25)=12),DecSun1+25,"")</f>
        <v>42726</v>
      </c>
      <c r="AM46" s="51">
        <f>IF(AND(YEAR(DecSun1+26)=$A$1,MONTH(DecSun1+26)=12),DecSun1+26,"")</f>
        <v>42727</v>
      </c>
      <c r="AN46" s="51">
        <f>IF(AND(YEAR(DecSun1+27)=$A$1,MONTH(DecSun1+27)=12),DecSun1+27,"")</f>
        <v>42728</v>
      </c>
      <c r="AO46" s="44"/>
      <c r="AP46" s="40"/>
      <c r="AQ46" s="3"/>
      <c r="AR46" s="6"/>
      <c r="AS46" s="6"/>
      <c r="AT46" s="6"/>
      <c r="AU46" s="6"/>
    </row>
    <row r="47" spans="1:44" ht="15.95" customHeight="1">
      <c r="A47" s="6"/>
      <c r="B47" s="64"/>
      <c r="C47" s="62"/>
      <c r="D47" s="52"/>
      <c r="E47" s="52"/>
      <c r="F47" s="52"/>
      <c r="G47" s="52"/>
      <c r="H47" s="52"/>
      <c r="I47" s="52"/>
      <c r="J47" s="52"/>
      <c r="K47" s="83"/>
      <c r="L47" s="84"/>
      <c r="M47" s="62"/>
      <c r="N47" s="52"/>
      <c r="O47" s="52"/>
      <c r="P47" s="52"/>
      <c r="Q47" s="52"/>
      <c r="R47" s="52"/>
      <c r="S47" s="52"/>
      <c r="T47" s="52"/>
      <c r="U47" s="83"/>
      <c r="V47" s="84"/>
      <c r="W47" s="62"/>
      <c r="X47" s="52"/>
      <c r="Y47" s="52"/>
      <c r="Z47" s="52"/>
      <c r="AA47" s="52"/>
      <c r="AB47" s="52"/>
      <c r="AC47" s="52"/>
      <c r="AD47" s="52"/>
      <c r="AE47" s="83"/>
      <c r="AF47" s="84"/>
      <c r="AG47" s="62"/>
      <c r="AH47" s="52"/>
      <c r="AI47" s="52"/>
      <c r="AJ47" s="52"/>
      <c r="AK47" s="52"/>
      <c r="AL47" s="52"/>
      <c r="AM47" s="52"/>
      <c r="AN47" s="52"/>
      <c r="AO47" s="45"/>
      <c r="AQ47" s="16"/>
      <c r="AR47" s="12"/>
    </row>
    <row r="48" spans="2:43" s="42" customFormat="1" ht="15.95" customHeight="1">
      <c r="B48" s="72"/>
      <c r="C48" s="60"/>
      <c r="D48" s="51">
        <f>IF(AND(YEAR(MarSun1+28)=$A$1,MONTH(MarSun1+28)=3),MarSun1+28,"")</f>
        <v>42456</v>
      </c>
      <c r="E48" s="51">
        <f>IF(AND(YEAR(MarSun1+29)=$A$1,MONTH(MarSun1+29)=3),MarSun1+29,"")</f>
        <v>42457</v>
      </c>
      <c r="F48" s="51">
        <f>IF(AND(YEAR(MarSun1+30)=$A$1,MONTH(MarSun1+30)=3),MarSun1+30,"")</f>
        <v>42458</v>
      </c>
      <c r="G48" s="51">
        <f>IF(AND(YEAR(MarSun1+31)=$A$1,MONTH(MarSun1+31)=3),MarSun1+31,"")</f>
        <v>42459</v>
      </c>
      <c r="H48" s="51">
        <f>IF(AND(YEAR(MarSun1+32)=$A$1,MONTH(MarSun1+32)=3),MarSun1+32,"")</f>
        <v>42460</v>
      </c>
      <c r="I48" s="51" t="str">
        <f>IF(AND(YEAR(MarSun1+33)=$A$1,MONTH(MarSun1+33)=3),MarSun1+33,"")</f>
        <v/>
      </c>
      <c r="J48" s="51" t="str">
        <f>IF(AND(YEAR(MarSun1+34)=$A$1,MONTH(MarSun1+34)=3),MarSun1+34,"")</f>
        <v/>
      </c>
      <c r="K48" s="49"/>
      <c r="L48" s="16"/>
      <c r="M48" s="60"/>
      <c r="N48" s="51">
        <f>IF(AND(YEAR(JunSun1+28)=$A$1,MONTH(JunSun1+28)=6),JunSun1+28,"")</f>
        <v>42547</v>
      </c>
      <c r="O48" s="51">
        <f>IF(AND(YEAR(JunSun1+29)=$A$1,MONTH(JunSun1+29)=6),JunSun1+29,"")</f>
        <v>42548</v>
      </c>
      <c r="P48" s="51">
        <f>IF(AND(YEAR(JunSun1+30)=$A$1,MONTH(JunSun1+30)=6),JunSun1+30,"")</f>
        <v>42549</v>
      </c>
      <c r="Q48" s="51">
        <f>IF(AND(YEAR(JunSun1+31)=$A$1,MONTH(JunSun1+31)=6),JunSun1+31,"")</f>
        <v>42550</v>
      </c>
      <c r="R48" s="51">
        <f>IF(AND(YEAR(JunSun1+32)=$A$1,MONTH(JunSun1+32)=6),JunSun1+32,"")</f>
        <v>42551</v>
      </c>
      <c r="S48" s="51" t="str">
        <f>IF(AND(YEAR(JunSun1+33)=$A$1,MONTH(JunSun1+33)=6),JunSun1+33,"")</f>
        <v/>
      </c>
      <c r="T48" s="51" t="str">
        <f>IF(AND(YEAR(JunSun1+34)=$A$1,MONTH(JunSun1+34)=6),JunSun1+34,"")</f>
        <v/>
      </c>
      <c r="U48" s="49"/>
      <c r="V48" s="16"/>
      <c r="W48" s="60"/>
      <c r="X48" s="51">
        <f>IF(AND(YEAR(SepSun1+28)=$A$1,MONTH(SepSun1+28)=9),SepSun1+28,"")</f>
        <v>42638</v>
      </c>
      <c r="Y48" s="51">
        <f>IF(AND(YEAR(SepSun1+29)=$A$1,MONTH(SepSun1+29)=9),SepSun1+29,"")</f>
        <v>42639</v>
      </c>
      <c r="Z48" s="51">
        <f>IF(AND(YEAR(SepSun1+30)=$A$1,MONTH(SepSun1+30)=9),SepSun1+30,"")</f>
        <v>42640</v>
      </c>
      <c r="AA48" s="51">
        <f>IF(AND(YEAR(SepSun1+31)=$A$1,MONTH(SepSun1+31)=9),SepSun1+31,"")</f>
        <v>42641</v>
      </c>
      <c r="AB48" s="51">
        <f>IF(AND(YEAR(SepSun1+32)=$A$1,MONTH(SepSun1+32)=9),SepSun1+32,"")</f>
        <v>42642</v>
      </c>
      <c r="AC48" s="51">
        <f>IF(AND(YEAR(SepSun1+33)=$A$1,MONTH(SepSun1+33)=9),SepSun1+33,"")</f>
        <v>42643</v>
      </c>
      <c r="AD48" s="51" t="str">
        <f>IF(AND(YEAR(SepSun1+34)=$A$1,MONTH(SepSun1+34)=9),SepSun1+34,"")</f>
        <v/>
      </c>
      <c r="AE48" s="49"/>
      <c r="AF48" s="16"/>
      <c r="AG48" s="60"/>
      <c r="AH48" s="51">
        <f>IF(AND(YEAR(DecSun1+28)=$A$1,MONTH(DecSun1+28)=12),DecSun1+28,"")</f>
        <v>42729</v>
      </c>
      <c r="AI48" s="51">
        <f>IF(AND(YEAR(DecSun1+29)=$A$1,MONTH(DecSun1+29)=12),DecSun1+29,"")</f>
        <v>42730</v>
      </c>
      <c r="AJ48" s="51">
        <f>IF(AND(YEAR(DecSun1+30)=$A$1,MONTH(DecSun1+30)=12),DecSun1+30,"")</f>
        <v>42731</v>
      </c>
      <c r="AK48" s="51">
        <f>IF(AND(YEAR(DecSun1+31)=$A$1,MONTH(DecSun1+31)=12),DecSun1+31,"")</f>
        <v>42732</v>
      </c>
      <c r="AL48" s="51">
        <f>IF(AND(YEAR(DecSun1+32)=$A$1,MONTH(DecSun1+32)=12),DecSun1+32,"")</f>
        <v>42733</v>
      </c>
      <c r="AM48" s="51">
        <f>IF(AND(YEAR(DecSun1+33)=$A$1,MONTH(DecSun1+33)=12),DecSun1+33,"")</f>
        <v>42734</v>
      </c>
      <c r="AN48" s="51">
        <f>IF(AND(YEAR(DecSun1+34)=$A$1,MONTH(DecSun1+34)=12),DecSun1+34,"")</f>
        <v>42735</v>
      </c>
      <c r="AO48" s="44"/>
      <c r="AP48" s="2"/>
      <c r="AQ48" s="40"/>
    </row>
    <row r="49" spans="3:41" ht="12.75">
      <c r="C49" s="62"/>
      <c r="D49" s="52"/>
      <c r="E49" s="52"/>
      <c r="F49" s="52"/>
      <c r="G49" s="52"/>
      <c r="H49" s="52"/>
      <c r="I49" s="53"/>
      <c r="J49" s="53"/>
      <c r="K49" s="83"/>
      <c r="L49" s="84"/>
      <c r="M49" s="62"/>
      <c r="N49" s="52"/>
      <c r="O49" s="52"/>
      <c r="P49" s="52"/>
      <c r="Q49" s="52"/>
      <c r="R49" s="52"/>
      <c r="S49" s="53"/>
      <c r="T49" s="53"/>
      <c r="U49" s="83"/>
      <c r="V49" s="84"/>
      <c r="W49" s="62"/>
      <c r="X49" s="52"/>
      <c r="Y49" s="52"/>
      <c r="Z49" s="52"/>
      <c r="AA49" s="52"/>
      <c r="AB49" s="52"/>
      <c r="AC49" s="52"/>
      <c r="AD49" s="53"/>
      <c r="AE49" s="83"/>
      <c r="AF49" s="84"/>
      <c r="AG49" s="62"/>
      <c r="AH49" s="52"/>
      <c r="AI49" s="52"/>
      <c r="AJ49" s="52"/>
      <c r="AK49" s="52"/>
      <c r="AL49" s="52"/>
      <c r="AM49" s="52"/>
      <c r="AN49" s="52"/>
      <c r="AO49" s="45"/>
    </row>
    <row r="50" spans="3:41" ht="12.75">
      <c r="C50" s="60"/>
      <c r="D50" s="51" t="str">
        <f>IF(AND(YEAR(MarSun1+35)=$A$1,MONTH(MarSun1+35)=3),MarSun1+35,"")</f>
        <v/>
      </c>
      <c r="E50" s="51" t="str">
        <f>IF(AND(YEAR(MarSun1+36)=$A$1,MONTH(MarSun1+36)=3),MarSun1+36,"")</f>
        <v/>
      </c>
      <c r="F50" s="51" t="str">
        <f>IF(AND(YEAR(MarSun1+37)=$A$1,MONTH(MarSun1+37)=3),MarSun1+37,"")</f>
        <v/>
      </c>
      <c r="G50" s="51" t="str">
        <f>IF(AND(YEAR(MarSun1+38)=$A$1,MONTH(MarSun1+38)=3),MarSun1+38,"")</f>
        <v/>
      </c>
      <c r="H50" s="51" t="str">
        <f>IF(AND(YEAR(MarSun1+39)=$A$1,MONTH(MarSun1+39)=3),MarSun1+39,"")</f>
        <v/>
      </c>
      <c r="I50" s="51" t="str">
        <f>IF(AND(YEAR(MarSun1+40)=$A$1,MONTH(MarSun1+40)=3),MarSun1+40,"")</f>
        <v/>
      </c>
      <c r="J50" s="51" t="str">
        <f>IF(AND(YEAR(MarSun1+41)=$A$1,MONTH(MarSun1+41)=3),MarSun1+41,"")</f>
        <v/>
      </c>
      <c r="K50" s="49"/>
      <c r="L50" s="16"/>
      <c r="M50" s="60"/>
      <c r="N50" s="51" t="str">
        <f>IF(AND(YEAR(JunSun1+35)=$A$1,MONTH(JunSun1+35)=6),JunSun1+35,"")</f>
        <v/>
      </c>
      <c r="O50" s="51" t="str">
        <f>IF(AND(YEAR(JunSun1+36)=$A$1,MONTH(JunSun1+36)=6),JunSun1+36,"")</f>
        <v/>
      </c>
      <c r="P50" s="51" t="str">
        <f>IF(AND(YEAR(JunSun1+37)=$A$1,MONTH(JunSun1+37)=6),JunSun1+37,"")</f>
        <v/>
      </c>
      <c r="Q50" s="51" t="str">
        <f>IF(AND(YEAR(JunSun1+38)=$A$1,MONTH(JunSun1+38)=6),JunSun1+38,"")</f>
        <v/>
      </c>
      <c r="R50" s="51" t="str">
        <f>IF(AND(YEAR(JunSun1+39)=$A$1,MONTH(JunSun1+39)=6),JunSun1+39,"")</f>
        <v/>
      </c>
      <c r="S50" s="51" t="str">
        <f>IF(AND(YEAR(JunSun1+40)=$A$1,MONTH(JunSun1+40)=6),JunSun1+40,"")</f>
        <v/>
      </c>
      <c r="T50" s="51" t="str">
        <f>IF(AND(YEAR(JunSun1+41)=$A$1,MONTH(JunSun1+41)=6),JunSun1+41,"")</f>
        <v/>
      </c>
      <c r="U50" s="49"/>
      <c r="V50" s="16"/>
      <c r="W50" s="60"/>
      <c r="X50" s="51" t="str">
        <f>IF(AND(YEAR(SepSun1+35)=$A$1,MONTH(SepSun1+35)=9),SepSun1+35,"")</f>
        <v/>
      </c>
      <c r="Y50" s="51" t="str">
        <f>IF(AND(YEAR(SepSun1+36)=$A$1,MONTH(SepSun1+36)=9),SepSun1+36,"")</f>
        <v/>
      </c>
      <c r="Z50" s="51" t="str">
        <f>IF(AND(YEAR(SepSun1+37)=$A$1,MONTH(SepSun1+37)=9),SepSun1+37,"")</f>
        <v/>
      </c>
      <c r="AA50" s="51" t="str">
        <f>IF(AND(YEAR(SepSun1+38)=$A$1,MONTH(SepSun1+38)=9),SepSun1+38,"")</f>
        <v/>
      </c>
      <c r="AB50" s="51" t="str">
        <f>IF(AND(YEAR(SepSun1+39)=$A$1,MONTH(SepSun1+39)=9),SepSun1+39,"")</f>
        <v/>
      </c>
      <c r="AC50" s="51" t="str">
        <f>IF(AND(YEAR(SepSun1+40)=$A$1,MONTH(SepSun1+40)=9),SepSun1+40,"")</f>
        <v/>
      </c>
      <c r="AD50" s="51" t="str">
        <f>IF(AND(YEAR(SepSun1+41)=$A$1,MONTH(SepSun1+41)=9),SepSun1+41,"")</f>
        <v/>
      </c>
      <c r="AE50" s="49"/>
      <c r="AF50" s="16"/>
      <c r="AG50" s="60"/>
      <c r="AH50" s="51" t="str">
        <f>IF(AND(YEAR(DecSun1+35)=$A$1,MONTH(DecSun1+35)=12),DecSun1+35,"")</f>
        <v/>
      </c>
      <c r="AI50" s="51" t="str">
        <f>IF(AND(YEAR(DecSun1+36)=$A$1,MONTH(DecSun1+36)=12),DecSun1+36,"")</f>
        <v/>
      </c>
      <c r="AJ50" s="51" t="str">
        <f>IF(AND(YEAR(DecSun1+37)=$A$1,MONTH(DecSun1+37)=12),DecSun1+37,"")</f>
        <v/>
      </c>
      <c r="AK50" s="51" t="str">
        <f>IF(AND(YEAR(DecSun1+38)=$A$1,MONTH(DecSun1+38)=12),DecSun1+38,"")</f>
        <v/>
      </c>
      <c r="AL50" s="51" t="str">
        <f>IF(AND(YEAR(DecSun1+39)=$A$1,MONTH(DecSun1+39)=12),DecSun1+39,"")</f>
        <v/>
      </c>
      <c r="AM50" s="51" t="str">
        <f>IF(AND(YEAR(DecSun1+40)=$A$1,MONTH(DecSun1+40)=12),DecSun1+40,"")</f>
        <v/>
      </c>
      <c r="AN50" s="51" t="str">
        <f>IF(AND(YEAR(DecSun1+41)=$A$1,MONTH(DecSun1+41)=12),DecSun1+41,"")</f>
        <v/>
      </c>
      <c r="AO50" s="44"/>
    </row>
    <row r="51" spans="3:41" ht="12.75">
      <c r="C51" s="74"/>
      <c r="D51" s="53"/>
      <c r="E51" s="53"/>
      <c r="F51" s="53"/>
      <c r="G51" s="53"/>
      <c r="H51" s="53"/>
      <c r="I51" s="53"/>
      <c r="J51" s="53"/>
      <c r="K51" s="55" t="s">
        <v>21</v>
      </c>
      <c r="L51" s="16"/>
      <c r="M51" s="74"/>
      <c r="N51" s="53"/>
      <c r="O51" s="53"/>
      <c r="P51" s="53"/>
      <c r="Q51" s="53"/>
      <c r="R51" s="53"/>
      <c r="S51" s="53"/>
      <c r="T51" s="53"/>
      <c r="U51" s="55" t="s">
        <v>21</v>
      </c>
      <c r="V51" s="16"/>
      <c r="W51" s="74"/>
      <c r="X51" s="53"/>
      <c r="Y51" s="53"/>
      <c r="Z51" s="53"/>
      <c r="AA51" s="53"/>
      <c r="AB51" s="53"/>
      <c r="AC51" s="53"/>
      <c r="AD51" s="53"/>
      <c r="AE51" s="55" t="s">
        <v>21</v>
      </c>
      <c r="AF51" s="16"/>
      <c r="AG51" s="62"/>
      <c r="AH51" s="53"/>
      <c r="AI51" s="53"/>
      <c r="AJ51" s="53"/>
      <c r="AK51" s="53"/>
      <c r="AL51" s="53"/>
      <c r="AM51" s="53"/>
      <c r="AN51" s="53"/>
      <c r="AO51" s="55" t="s">
        <v>21</v>
      </c>
    </row>
    <row r="52" spans="3:41" ht="15.75" customHeight="1" thickBot="1">
      <c r="C52" s="65" t="s">
        <v>35</v>
      </c>
      <c r="D52" s="110">
        <f>COUNTIF(D43:J43,"AC")+COUNTIF(D45:J45,"AC")+COUNTIF(D47:J47,"AC")+COUNTIF(D49:J49,"AC")+COUNTIF(D51:J51,"AC")+COUNTIF(D41:J41,"AC")</f>
        <v>0</v>
      </c>
      <c r="E52" s="111" t="s">
        <v>2</v>
      </c>
      <c r="F52" s="110">
        <f>COUNTIF(D43:J43,"T")+COUNTIF(D45:J45,"T")+COUNTIF(D47:J47,"T")+COUNTIF(D49:J49,"T")+COUNTIF(D51:J51,"T")+COUNTIF(D41:J41,"T")</f>
        <v>0</v>
      </c>
      <c r="G52" s="111" t="s">
        <v>20</v>
      </c>
      <c r="H52" s="110">
        <f>COUNTIF(D43:J43,"MP")+COUNTIF(D45:J45,"MP")+COUNTIF(D47:J47,"MP")+COUNTIF(D49:J49,"MP")+COUNTIF(D51:J51,"MP")+COUNTIF(D41:J41,"MP")</f>
        <v>0</v>
      </c>
      <c r="I52" s="111" t="s">
        <v>22</v>
      </c>
      <c r="J52" s="110">
        <f>COUNTIF(D43:J43,"A")+COUNTIF(D45:J45,"A")+COUNTIF(D47:J47,"A")+COUNTIF(D49:J49,"A")+COUNTIF(D51:J51,"A")+COUNTIF(D41:J41,"A")</f>
        <v>0</v>
      </c>
      <c r="K52" s="54">
        <f>SUM((F52*0.5)+(H52*0.5)+(J52))</f>
        <v>0</v>
      </c>
      <c r="L52" s="85"/>
      <c r="M52" s="65" t="s">
        <v>35</v>
      </c>
      <c r="N52" s="110">
        <f>COUNTIF(N43:T43,"AC")+COUNTIF(N45:T45,"AC")+COUNTIF(N47:T47,"AC")+COUNTIF(N49:T49,"AC")+COUNTIF(N51:T51,"AC")+COUNTIF(N41:T41,"AC")</f>
        <v>0</v>
      </c>
      <c r="O52" s="111" t="s">
        <v>2</v>
      </c>
      <c r="P52" s="110">
        <f>COUNTIF(N43:T43,"T")+COUNTIF(N45:T45,"T")+COUNTIF(N47:T47,"T")+COUNTIF(N49:T49,"T")+COUNTIF(N51:T51,"T")+COUNTIF(N41:T41,"T")</f>
        <v>0</v>
      </c>
      <c r="Q52" s="111" t="s">
        <v>20</v>
      </c>
      <c r="R52" s="110">
        <f>COUNTIF(N43:T43,"MP")+COUNTIF(N45:T45,"MP")+COUNTIF(N47:T47,"MP")+COUNTIF(N49:T49,"MP")+COUNTIF(N51:T51,"MP")+COUNTIF(N41:T41,"MP")</f>
        <v>0</v>
      </c>
      <c r="S52" s="111" t="s">
        <v>22</v>
      </c>
      <c r="T52" s="110">
        <f>COUNTIF(N43:T43,"A")+COUNTIF(N45:T45,"A")+COUNTIF(N47:T47,"A")+COUNTIF(N49:T49,"A")+COUNTIF(N51:T51,"A")+COUNTIF(N41:T41,"A")</f>
        <v>0</v>
      </c>
      <c r="U52" s="54">
        <f>SUM((P52*0.5)+(R52*0.5)+(T52))</f>
        <v>0</v>
      </c>
      <c r="V52" s="85"/>
      <c r="W52" s="65" t="s">
        <v>35</v>
      </c>
      <c r="X52" s="110">
        <f>COUNTIF(X43:AD43,"AC")+COUNTIF(X45:AD45,"AC")+COUNTIF(X47:AD47,"AC")+COUNTIF(X49:AD49,"AC")+COUNTIF(X51:AD51,"AC")+COUNTIF(X41:AD41,"AC")</f>
        <v>0</v>
      </c>
      <c r="Y52" s="111" t="s">
        <v>2</v>
      </c>
      <c r="Z52" s="110">
        <f>COUNTIF(X43:AD43,"T")+COUNTIF(X45:AD45,"T")+COUNTIF(X47:AD47,"T")+COUNTIF(X49:AD49,"T")+COUNTIF(X51:AD51,"T")+COUNTIF(X41:AD41,"T")</f>
        <v>0</v>
      </c>
      <c r="AA52" s="111" t="s">
        <v>20</v>
      </c>
      <c r="AB52" s="110">
        <f>COUNTIF(X43:AD43,"MP")+COUNTIF(X45:AD45,"MP")+COUNTIF(X47:AD47,"MP")+COUNTIF(X49:AD49,"MP")+COUNTIF(X51:AD51,"MP")+COUNTIF(X41:AD41,"MP")</f>
        <v>0</v>
      </c>
      <c r="AC52" s="111" t="s">
        <v>22</v>
      </c>
      <c r="AD52" s="110">
        <f>COUNTIF(X43:AD43,"A")+COUNTIF(X45:AD45,"A")+COUNTIF(X47:AD47,"A")+COUNTIF(X49:AD49,"A")+COUNTIF(X51:AD51,"A")+COUNTIF(X41:AD41,"A")</f>
        <v>0</v>
      </c>
      <c r="AE52" s="54">
        <f>SUM((Z52*0.5)+(AB52*0.5)+(AD52))</f>
        <v>0</v>
      </c>
      <c r="AF52" s="85"/>
      <c r="AG52" s="65" t="s">
        <v>35</v>
      </c>
      <c r="AH52" s="110">
        <f>COUNTIF(AH43:AN43,"AC")+COUNTIF(AH45:AN45,"AC")+COUNTIF(AH47:AN47,"AC")+COUNTIF(AH49:AN49,"AC")+COUNTIF(AH51:AN51,"AC")+COUNTIF(AH41:AN41,"AC")</f>
        <v>0</v>
      </c>
      <c r="AI52" s="111" t="s">
        <v>2</v>
      </c>
      <c r="AJ52" s="110">
        <f>COUNTIF(AH43:AN43,"T")+COUNTIF(AH45:AN45,"T")+COUNTIF(AH47:AN47,"T")+COUNTIF(AH49:AN49,"T")+COUNTIF(AH51:AN51,"T")+COUNTIF(AH41:AN41,"T")</f>
        <v>0</v>
      </c>
      <c r="AK52" s="111" t="s">
        <v>20</v>
      </c>
      <c r="AL52" s="110">
        <f>COUNTIF(AH43:AN43,"MP")+COUNTIF(AH45:AN45,"MP")+COUNTIF(AH47:AN47,"MP")+COUNTIF(AH49:AN49,"MP")+COUNTIF(AH51:AN51,"MP")+COUNTIF(AH41:AN41,"MP")</f>
        <v>0</v>
      </c>
      <c r="AM52" s="111" t="s">
        <v>22</v>
      </c>
      <c r="AN52" s="110">
        <f>COUNTIF(AH43:AN43,"A")+COUNTIF(AH45:AN45,"A")+COUNTIF(AH47:AN47,"A")+COUNTIF(AH49:AN49,"A")+COUNTIF(AH51:AN51,"A")+COUNTIF(AH41:AN41,"A")</f>
        <v>0</v>
      </c>
      <c r="AO52" s="54">
        <f>SUM((AJ52*0.5)+(AL52*0.5)+(AN52))</f>
        <v>0</v>
      </c>
    </row>
    <row r="53" spans="3:40" ht="15.75" thickTop="1">
      <c r="C53" s="75"/>
      <c r="D53" s="75"/>
      <c r="E53" s="75"/>
      <c r="F53" s="75"/>
      <c r="G53" s="75"/>
      <c r="H53" s="75"/>
      <c r="I53" s="75"/>
      <c r="J53" s="75"/>
      <c r="K53" s="118"/>
      <c r="L53" s="119"/>
      <c r="N53" s="75"/>
      <c r="O53" s="75"/>
      <c r="P53" s="75"/>
      <c r="Q53" s="75"/>
      <c r="R53" s="75"/>
      <c r="S53" s="75"/>
      <c r="T53" s="75"/>
      <c r="U53" s="118"/>
      <c r="V53" s="119"/>
      <c r="X53" s="75"/>
      <c r="Y53" s="75"/>
      <c r="Z53" s="75"/>
      <c r="AA53" s="75"/>
      <c r="AB53" s="75"/>
      <c r="AC53" s="75"/>
      <c r="AD53" s="75"/>
      <c r="AE53" s="118"/>
      <c r="AF53" s="119"/>
      <c r="AH53" s="75"/>
      <c r="AI53" s="75"/>
      <c r="AJ53" s="75"/>
      <c r="AK53" s="75"/>
      <c r="AL53" s="75"/>
      <c r="AM53" s="75"/>
      <c r="AN53" s="75"/>
    </row>
    <row r="54" spans="3:40" ht="15.75" customHeight="1">
      <c r="C54" s="75"/>
      <c r="D54" s="75"/>
      <c r="E54" s="75"/>
      <c r="F54" s="75"/>
      <c r="G54" s="75"/>
      <c r="H54" s="75"/>
      <c r="I54" s="75"/>
      <c r="J54" s="75"/>
      <c r="K54" s="118"/>
      <c r="L54" s="119"/>
      <c r="N54" s="75"/>
      <c r="O54" s="75"/>
      <c r="P54" s="75"/>
      <c r="Q54" s="75"/>
      <c r="R54" s="75"/>
      <c r="S54" s="75"/>
      <c r="T54" s="75"/>
      <c r="U54" s="118"/>
      <c r="V54" s="119"/>
      <c r="X54" s="75"/>
      <c r="Y54" s="75"/>
      <c r="Z54" s="75"/>
      <c r="AA54" s="75"/>
      <c r="AB54" s="75"/>
      <c r="AC54" s="75"/>
      <c r="AD54" s="75"/>
      <c r="AE54" s="118"/>
      <c r="AF54" s="119"/>
      <c r="AH54" s="75"/>
      <c r="AI54" s="75"/>
      <c r="AJ54" s="75"/>
      <c r="AK54" s="75"/>
      <c r="AL54" s="75"/>
      <c r="AM54" s="75"/>
      <c r="AN54" s="75"/>
    </row>
    <row r="55" spans="3:40" ht="12.75">
      <c r="C55" s="75"/>
      <c r="D55" s="75"/>
      <c r="E55" s="75"/>
      <c r="F55" s="75"/>
      <c r="G55" s="75"/>
      <c r="H55" s="75"/>
      <c r="I55" s="75"/>
      <c r="J55" s="75"/>
      <c r="K55" s="118"/>
      <c r="L55" s="119"/>
      <c r="N55" s="75"/>
      <c r="O55" s="75"/>
      <c r="P55" s="75"/>
      <c r="Q55" s="75"/>
      <c r="R55" s="75"/>
      <c r="S55" s="75"/>
      <c r="T55" s="75"/>
      <c r="U55" s="118"/>
      <c r="V55" s="119"/>
      <c r="X55" s="75"/>
      <c r="Y55" s="75"/>
      <c r="Z55" s="75"/>
      <c r="AA55" s="75"/>
      <c r="AB55" s="75"/>
      <c r="AC55" s="75"/>
      <c r="AD55" s="75"/>
      <c r="AE55" s="118"/>
      <c r="AF55" s="119"/>
      <c r="AH55" s="75"/>
      <c r="AI55" s="75"/>
      <c r="AJ55" s="75"/>
      <c r="AK55" s="75"/>
      <c r="AL55" s="75"/>
      <c r="AM55" s="75"/>
      <c r="AN55" s="75"/>
    </row>
    <row r="56" spans="3:40" ht="12.75">
      <c r="C56" s="75"/>
      <c r="D56" s="75"/>
      <c r="E56" s="75"/>
      <c r="F56" s="75"/>
      <c r="G56" s="75"/>
      <c r="H56" s="75"/>
      <c r="I56" s="75"/>
      <c r="J56" s="75"/>
      <c r="K56" s="118"/>
      <c r="L56" s="119"/>
      <c r="N56" s="75"/>
      <c r="O56" s="75"/>
      <c r="P56" s="75"/>
      <c r="Q56" s="75"/>
      <c r="R56" s="75"/>
      <c r="S56" s="75"/>
      <c r="T56" s="75"/>
      <c r="U56" s="118"/>
      <c r="V56" s="119"/>
      <c r="X56" s="75"/>
      <c r="Y56" s="75"/>
      <c r="Z56" s="75"/>
      <c r="AA56" s="75"/>
      <c r="AB56" s="75"/>
      <c r="AC56" s="75"/>
      <c r="AD56" s="75"/>
      <c r="AE56" s="118"/>
      <c r="AF56" s="119"/>
      <c r="AH56" s="75"/>
      <c r="AI56" s="75"/>
      <c r="AJ56" s="75"/>
      <c r="AK56" s="75"/>
      <c r="AL56" s="75"/>
      <c r="AM56" s="75"/>
      <c r="AN56" s="75"/>
    </row>
  </sheetData>
  <sheetProtection algorithmName="SHA-512" hashValue="TPtOs3Zev11vTP/s4QjskQI9OEUuN5Gz6rtHbCZsZXHqAcN+I2RQ3R4ZWDcbRvBYbB8eNEJhYlfBR2OTeMFsLg==" saltValue="CnNzNQosGULQNQGcqQyMZQ==" spinCount="100000" sheet="1" objects="1" scenarios="1" selectLockedCells="1"/>
  <mergeCells count="25">
    <mergeCell ref="AT25:AU25"/>
    <mergeCell ref="AT26:AU26"/>
    <mergeCell ref="AT27:AU27"/>
    <mergeCell ref="D38:J38"/>
    <mergeCell ref="N38:T38"/>
    <mergeCell ref="X38:AD38"/>
    <mergeCell ref="AH38:AN38"/>
    <mergeCell ref="AT19:AU19"/>
    <mergeCell ref="AT20:AU20"/>
    <mergeCell ref="D21:J21"/>
    <mergeCell ref="N21:T21"/>
    <mergeCell ref="X21:AD21"/>
    <mergeCell ref="AH21:AN21"/>
    <mergeCell ref="AT18:AU18"/>
    <mergeCell ref="I1:T1"/>
    <mergeCell ref="AD1:AN1"/>
    <mergeCell ref="D4:J4"/>
    <mergeCell ref="N4:T4"/>
    <mergeCell ref="X4:AD4"/>
    <mergeCell ref="AH4:AN4"/>
    <mergeCell ref="AT12:AU12"/>
    <mergeCell ref="AT13:AU13"/>
    <mergeCell ref="AT14:AU14"/>
    <mergeCell ref="AT15:AU15"/>
    <mergeCell ref="AT17:AU17"/>
  </mergeCells>
  <conditionalFormatting sqref="AW10">
    <cfRule type="cellIs" priority="12" dxfId="3" operator="greaterThanOrEqual">
      <formula>10</formula>
    </cfRule>
    <cfRule type="cellIs" priority="13" dxfId="2" operator="between">
      <formula>8</formula>
      <formula>9.5</formula>
    </cfRule>
    <cfRule type="cellIs" priority="14" dxfId="12" operator="between">
      <formula>6</formula>
      <formula>7.5</formula>
    </cfRule>
    <cfRule type="cellIs" priority="15" dxfId="11" operator="between">
      <formula>4</formula>
      <formula>5.5</formula>
    </cfRule>
  </conditionalFormatting>
  <conditionalFormatting sqref="AR19">
    <cfRule type="cellIs" priority="8" dxfId="3" operator="greaterThanOrEqual">
      <formula>15</formula>
    </cfRule>
    <cfRule type="cellIs" priority="9" dxfId="2" operator="between">
      <formula>12</formula>
      <formula>14.5</formula>
    </cfRule>
    <cfRule type="cellIs" priority="10" dxfId="1" operator="between">
      <formula>9</formula>
      <formula>11.5</formula>
    </cfRule>
    <cfRule type="cellIs" priority="11" dxfId="0" operator="between">
      <formula>6</formula>
      <formula>8.5</formula>
    </cfRule>
  </conditionalFormatting>
  <conditionalFormatting sqref="AR26">
    <cfRule type="cellIs" priority="5" dxfId="3" operator="equal">
      <formula>$AS$27</formula>
    </cfRule>
    <cfRule type="cellIs" priority="6" dxfId="2" operator="equal">
      <formula>$AS$26</formula>
    </cfRule>
    <cfRule type="cellIs" priority="7" dxfId="1" operator="equal">
      <formula>$AS$25</formula>
    </cfRule>
  </conditionalFormatting>
  <conditionalFormatting sqref="AR13">
    <cfRule type="cellIs" priority="1" dxfId="3" operator="greaterThanOrEqual">
      <formula>10</formula>
    </cfRule>
    <cfRule type="cellIs" priority="2" dxfId="2" operator="between">
      <formula>8</formula>
      <formula>9.5</formula>
    </cfRule>
    <cfRule type="cellIs" priority="3" dxfId="1" operator="between">
      <formula>6</formula>
      <formula>7.5</formula>
    </cfRule>
    <cfRule type="cellIs" priority="4" dxfId="0" operator="between">
      <formula>4</formula>
      <formula>5.5</formula>
    </cfRule>
  </conditionalFormatting>
  <dataValidations count="5">
    <dataValidation type="whole" allowBlank="1" showInputMessage="1" showErrorMessage="1" sqref="A1:C3">
      <formula1>1900</formula1>
      <formula2>9999</formula2>
    </dataValidation>
    <dataValidation type="list" allowBlank="1" showInputMessage="1" showErrorMessage="1" sqref="K7:L7 K9:L9 K11:L11 K13:L13">
      <formula1>$AS$5:$AU$5</formula1>
    </dataValidation>
    <dataValidation type="list" allowBlank="1" showInputMessage="1" showErrorMessage="1" sqref="A7:B7">
      <formula1>$AZ$4:$AZ$24</formula1>
    </dataValidation>
    <dataValidation type="list" allowBlank="1" showInputMessage="1" showErrorMessage="1" sqref="AH15:AN15 AH13:AN13 X17:AD17 D9:J9 D11:J11 D13:J13 N24:T24 D24:J24 D26:J26 D32:J32 D30:J30 D41:J41 D43:J43 D45:J45 D47:J47 D51:J51 N51:T51 D49:J49 N49:T49 N47:T47 N45:T45 N43:T43 X34:AD34 N30:T30 N28:T28 N26:T26 N13:T13 N11:T11 N9:T9 N7:T7 D15:J15 X9:AD9 X11:AD11 X13:AD13 X15:AC15 D7:J7 AH24:AN24 X24:AD24 X26:AD26 X32:AD32 N41:T41 X41:AD41 X43:AD43 X45:AD45 X47:AD47 AH47:AN47 AH45:AN45 AH43:AN43 AH41:AN41 X49:AD49 AH34:AN34 AH30:AN30 AH28:AN28 AH26:AN26 AH17:AN17 AH11:AN11 AH9:AN9 AH7:AN7 X7:AD7 X51:AD51 AH51:AN51 N17:T17 D28:J28 N34:T34 N32:T32 X28:AD28 X30:AD30 D17:J17 AH32:AN32 N15:T15 AH49:AN49">
      <formula1>$AS$5:$AX$5</formula1>
    </dataValidation>
    <dataValidation type="list" allowBlank="1" showInputMessage="1" showErrorMessage="1" sqref="A12:B12">
      <formula1>$AZ$4:$AZ$34</formula1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scale="5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15.421875" style="2" bestFit="1" customWidth="1"/>
    <col min="2" max="2" width="1.7109375" style="73" customWidth="1"/>
    <col min="3" max="5" width="3.7109375" style="2" customWidth="1"/>
    <col min="6" max="6" width="3.57421875" style="2" customWidth="1"/>
    <col min="7" max="10" width="3.7109375" style="2" customWidth="1"/>
    <col min="11" max="11" width="5.7109375" style="72" customWidth="1"/>
    <col min="12" max="12" width="1.7109375" style="73" customWidth="1"/>
    <col min="13" max="20" width="3.7109375" style="2" customWidth="1"/>
    <col min="21" max="21" width="5.7109375" style="72" customWidth="1"/>
    <col min="22" max="22" width="1.7109375" style="73" customWidth="1"/>
    <col min="23" max="30" width="3.7109375" style="2" customWidth="1"/>
    <col min="31" max="31" width="5.7109375" style="72" customWidth="1"/>
    <col min="32" max="32" width="1.7109375" style="73" customWidth="1"/>
    <col min="33" max="40" width="3.7109375" style="2" customWidth="1"/>
    <col min="41" max="41" width="5.7109375" style="42" customWidth="1"/>
    <col min="42" max="42" width="1.7109375" style="2" customWidth="1"/>
    <col min="43" max="43" width="3.7109375" style="2" customWidth="1"/>
    <col min="44" max="44" width="17.421875" style="2" customWidth="1"/>
    <col min="45" max="45" width="9.00390625" style="2" customWidth="1"/>
    <col min="46" max="46" width="6.421875" style="2" customWidth="1"/>
    <col min="47" max="47" width="7.7109375" style="2" customWidth="1"/>
    <col min="48" max="48" width="14.28125" style="2" customWidth="1"/>
    <col min="49" max="49" width="9.140625" style="2" customWidth="1"/>
    <col min="50" max="50" width="9.8515625" style="2" customWidth="1"/>
    <col min="51" max="51" width="9.140625" style="2" customWidth="1"/>
    <col min="52" max="52" width="9.140625" style="2" hidden="1" customWidth="1"/>
    <col min="53" max="16384" width="9.140625" style="2" customWidth="1"/>
  </cols>
  <sheetData>
    <row r="1" spans="1:40" ht="26.25">
      <c r="A1" s="92">
        <v>2017</v>
      </c>
      <c r="B1" s="56"/>
      <c r="D1" s="93"/>
      <c r="E1" s="93"/>
      <c r="F1" s="94" t="s">
        <v>25</v>
      </c>
      <c r="G1" s="95"/>
      <c r="H1" s="95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98"/>
      <c r="V1" s="89"/>
      <c r="W1" s="93"/>
      <c r="X1" s="93"/>
      <c r="Y1" s="94" t="s">
        <v>41</v>
      </c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</row>
    <row r="2" spans="1:40" ht="5.25" customHeight="1" thickBot="1">
      <c r="A2" s="92"/>
      <c r="B2" s="56"/>
      <c r="D2" s="93"/>
      <c r="E2" s="93"/>
      <c r="F2" s="94"/>
      <c r="G2" s="95"/>
      <c r="H2" s="95"/>
      <c r="I2" s="96"/>
      <c r="J2" s="96"/>
      <c r="K2" s="97"/>
      <c r="L2" s="97"/>
      <c r="M2" s="97"/>
      <c r="N2" s="96"/>
      <c r="O2" s="96"/>
      <c r="P2" s="96"/>
      <c r="Q2" s="96"/>
      <c r="R2" s="96"/>
      <c r="S2" s="96"/>
      <c r="T2" s="96"/>
      <c r="U2" s="98"/>
      <c r="V2" s="89"/>
      <c r="W2" s="93"/>
      <c r="X2" s="93"/>
      <c r="Y2" s="94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50" ht="15.95" customHeight="1" thickTop="1">
      <c r="A3" s="92"/>
      <c r="B3" s="56"/>
      <c r="C3" s="57"/>
      <c r="D3" s="100"/>
      <c r="E3" s="100"/>
      <c r="F3" s="101"/>
      <c r="G3" s="100"/>
      <c r="H3" s="100"/>
      <c r="I3" s="102"/>
      <c r="J3" s="102"/>
      <c r="K3" s="76"/>
      <c r="L3" s="77"/>
      <c r="M3" s="78"/>
      <c r="N3" s="102"/>
      <c r="O3" s="102"/>
      <c r="P3" s="102"/>
      <c r="Q3" s="102"/>
      <c r="R3" s="102"/>
      <c r="S3" s="102"/>
      <c r="T3" s="102"/>
      <c r="U3" s="76"/>
      <c r="V3" s="89"/>
      <c r="W3" s="78"/>
      <c r="X3" s="100"/>
      <c r="Y3" s="100"/>
      <c r="Z3" s="103"/>
      <c r="AA3" s="103"/>
      <c r="AB3" s="103"/>
      <c r="AC3" s="103"/>
      <c r="AD3" s="103"/>
      <c r="AE3" s="90"/>
      <c r="AG3" s="57"/>
      <c r="AH3" s="103"/>
      <c r="AI3" s="103"/>
      <c r="AJ3" s="103"/>
      <c r="AK3" s="103"/>
      <c r="AL3" s="103"/>
      <c r="AM3" s="103"/>
      <c r="AN3" s="103"/>
      <c r="AO3" s="104"/>
      <c r="AR3" s="35" t="s">
        <v>34</v>
      </c>
      <c r="AS3" s="35" t="s">
        <v>47</v>
      </c>
      <c r="AT3" s="35"/>
      <c r="AU3" s="37"/>
      <c r="AV3" s="37" t="s">
        <v>19</v>
      </c>
      <c r="AW3" s="35"/>
      <c r="AX3" s="35" t="s">
        <v>49</v>
      </c>
    </row>
    <row r="4" spans="1:52" ht="15.95" customHeight="1">
      <c r="A4" s="105" t="s">
        <v>24</v>
      </c>
      <c r="B4" s="58"/>
      <c r="C4" s="59"/>
      <c r="D4" s="136" t="s">
        <v>5</v>
      </c>
      <c r="E4" s="137"/>
      <c r="F4" s="137"/>
      <c r="G4" s="137"/>
      <c r="H4" s="137"/>
      <c r="I4" s="138"/>
      <c r="J4" s="139"/>
      <c r="K4" s="79"/>
      <c r="L4" s="80"/>
      <c r="M4" s="59"/>
      <c r="N4" s="140" t="s">
        <v>8</v>
      </c>
      <c r="O4" s="138"/>
      <c r="P4" s="138"/>
      <c r="Q4" s="138"/>
      <c r="R4" s="138"/>
      <c r="S4" s="138"/>
      <c r="T4" s="139"/>
      <c r="U4" s="79"/>
      <c r="V4" s="80"/>
      <c r="W4" s="59"/>
      <c r="X4" s="136" t="s">
        <v>11</v>
      </c>
      <c r="Y4" s="137"/>
      <c r="Z4" s="137"/>
      <c r="AA4" s="137"/>
      <c r="AB4" s="137"/>
      <c r="AC4" s="137"/>
      <c r="AD4" s="143"/>
      <c r="AE4" s="79"/>
      <c r="AF4" s="80"/>
      <c r="AG4" s="59"/>
      <c r="AH4" s="136" t="s">
        <v>13</v>
      </c>
      <c r="AI4" s="137"/>
      <c r="AJ4" s="137"/>
      <c r="AK4" s="137"/>
      <c r="AL4" s="137"/>
      <c r="AM4" s="137"/>
      <c r="AN4" s="143"/>
      <c r="AO4" s="43"/>
      <c r="AR4" s="36"/>
      <c r="AS4" s="36" t="s">
        <v>46</v>
      </c>
      <c r="AT4" s="36" t="s">
        <v>18</v>
      </c>
      <c r="AU4" s="38" t="s">
        <v>19</v>
      </c>
      <c r="AV4" s="38" t="s">
        <v>48</v>
      </c>
      <c r="AW4" s="36" t="s">
        <v>26</v>
      </c>
      <c r="AX4" s="36" t="s">
        <v>50</v>
      </c>
      <c r="AZ4" s="18">
        <v>0</v>
      </c>
    </row>
    <row r="5" spans="1:52" s="3" customFormat="1" ht="15.95" customHeight="1">
      <c r="A5" s="106" t="s">
        <v>36</v>
      </c>
      <c r="B5" s="58"/>
      <c r="C5" s="60"/>
      <c r="D5" s="107" t="s">
        <v>0</v>
      </c>
      <c r="E5" s="107" t="s">
        <v>1</v>
      </c>
      <c r="F5" s="107" t="s">
        <v>2</v>
      </c>
      <c r="G5" s="107" t="s">
        <v>3</v>
      </c>
      <c r="H5" s="107" t="s">
        <v>2</v>
      </c>
      <c r="I5" s="107" t="s">
        <v>4</v>
      </c>
      <c r="J5" s="107" t="s">
        <v>0</v>
      </c>
      <c r="K5" s="81"/>
      <c r="L5" s="82"/>
      <c r="M5" s="60"/>
      <c r="N5" s="107" t="s">
        <v>0</v>
      </c>
      <c r="O5" s="107" t="s">
        <v>1</v>
      </c>
      <c r="P5" s="107" t="s">
        <v>2</v>
      </c>
      <c r="Q5" s="107" t="s">
        <v>3</v>
      </c>
      <c r="R5" s="107" t="s">
        <v>2</v>
      </c>
      <c r="S5" s="107" t="s">
        <v>4</v>
      </c>
      <c r="T5" s="107" t="s">
        <v>0</v>
      </c>
      <c r="U5" s="81"/>
      <c r="V5" s="82"/>
      <c r="W5" s="60"/>
      <c r="X5" s="107" t="s">
        <v>0</v>
      </c>
      <c r="Y5" s="107" t="s">
        <v>1</v>
      </c>
      <c r="Z5" s="107" t="s">
        <v>2</v>
      </c>
      <c r="AA5" s="107" t="s">
        <v>3</v>
      </c>
      <c r="AB5" s="107" t="s">
        <v>2</v>
      </c>
      <c r="AC5" s="107" t="s">
        <v>4</v>
      </c>
      <c r="AD5" s="107" t="s">
        <v>0</v>
      </c>
      <c r="AE5" s="81"/>
      <c r="AF5" s="82"/>
      <c r="AG5" s="60"/>
      <c r="AH5" s="107" t="s">
        <v>0</v>
      </c>
      <c r="AI5" s="107" t="s">
        <v>1</v>
      </c>
      <c r="AJ5" s="107" t="s">
        <v>2</v>
      </c>
      <c r="AK5" s="107" t="s">
        <v>3</v>
      </c>
      <c r="AL5" s="107" t="s">
        <v>2</v>
      </c>
      <c r="AM5" s="107" t="s">
        <v>4</v>
      </c>
      <c r="AN5" s="107" t="s">
        <v>0</v>
      </c>
      <c r="AO5" s="44"/>
      <c r="AR5" s="19" t="s">
        <v>33</v>
      </c>
      <c r="AS5" s="4" t="s">
        <v>20</v>
      </c>
      <c r="AT5" s="4" t="s">
        <v>2</v>
      </c>
      <c r="AU5" s="4" t="s">
        <v>22</v>
      </c>
      <c r="AV5" s="4" t="s">
        <v>35</v>
      </c>
      <c r="AW5" s="4" t="s">
        <v>31</v>
      </c>
      <c r="AX5" s="4" t="s">
        <v>39</v>
      </c>
      <c r="AZ5" s="6">
        <v>0.5</v>
      </c>
    </row>
    <row r="6" spans="1:52" s="3" customFormat="1" ht="15.95" customHeight="1">
      <c r="A6" s="108" t="s">
        <v>45</v>
      </c>
      <c r="B6" s="58"/>
      <c r="C6" s="60"/>
      <c r="D6" s="51" t="str">
        <f>IF(AND(YEAR(JanSun1)=$A$1,MONTH(JanSun1)=1),JanSun1,"")</f>
        <v/>
      </c>
      <c r="E6" s="51" t="str">
        <f>IF(AND(YEAR(JanSun1+1)=$A$1,MONTH(JanSun1+1)=1),JanSun1+1,"")</f>
        <v/>
      </c>
      <c r="F6" s="51" t="str">
        <f>IF(AND(YEAR(JanSun1+2)=$A$1,MONTH(JanSun1+2)=1),JanSun1+2,"")</f>
        <v/>
      </c>
      <c r="G6" s="51" t="str">
        <f>IF(AND(YEAR(JanSun1+3)=$A$1,MONTH(JanSun1+3)=1),JanSun1+3,"")</f>
        <v/>
      </c>
      <c r="H6" s="51" t="str">
        <f>IF(AND(YEAR(JanSun1+4)=$A$1,MONTH(JanSun1+4)=1),JanSun1+4,"")</f>
        <v/>
      </c>
      <c r="I6" s="51">
        <f>IF(AND(YEAR(JanSun1+5)=$A$1,MONTH(JanSun1+5)=1),JanSun1+5,"")</f>
        <v>42370</v>
      </c>
      <c r="J6" s="51">
        <f>IF(AND(YEAR(JanSun1+6)=$A$1,MONTH(JanSun1+6)=1),JanSun1+6,"")</f>
        <v>42371</v>
      </c>
      <c r="K6" s="49"/>
      <c r="L6" s="16"/>
      <c r="M6" s="60"/>
      <c r="N6" s="51" t="str">
        <f>IF(AND(YEAR(AprSun1)=$A$1,MONTH(AprSun1)=4),AprSun1,"")</f>
        <v/>
      </c>
      <c r="O6" s="51" t="str">
        <f>IF(AND(YEAR(AprSun1+1)=$A$1,MONTH(AprSun1+1)=4),AprSun1+1,"")</f>
        <v/>
      </c>
      <c r="P6" s="51" t="str">
        <f>IF(AND(YEAR(AprSun1+2)=$A$1,MONTH(AprSun1+2)=4),AprSun1+2,"")</f>
        <v/>
      </c>
      <c r="Q6" s="51" t="str">
        <f>IF(AND(YEAR(AprSun1+3)=$A$1,MONTH(AprSun1+3)=4),AprSun1+3,"")</f>
        <v/>
      </c>
      <c r="R6" s="51" t="str">
        <f>IF(AND(YEAR(AprSun1+4)=$A$1,MONTH(AprSun1+4)=4),AprSun1+4,"")</f>
        <v/>
      </c>
      <c r="S6" s="51">
        <f>IF(AND(YEAR(AprSun1+5)=$A$1,MONTH(AprSun1+5)=4),AprSun1+5,"")</f>
        <v>42461</v>
      </c>
      <c r="T6" s="51">
        <f>IF(AND(YEAR(AprSun1+6)=$A$1,MONTH(AprSun1+6)=4),AprSun1+6,"")</f>
        <v>42462</v>
      </c>
      <c r="U6" s="49"/>
      <c r="V6" s="16"/>
      <c r="W6" s="60"/>
      <c r="X6" s="51" t="str">
        <f>IF(AND(YEAR(JulSun1)=$A$1,MONTH(JulSun1)=7),JulSun1,"")</f>
        <v/>
      </c>
      <c r="Y6" s="51" t="str">
        <f>IF(AND(YEAR(JulSun1+1)=$A$1,MONTH(JulSun1+1)=7),JulSun1+1,"")</f>
        <v/>
      </c>
      <c r="Z6" s="51" t="str">
        <f>IF(AND(YEAR(JulSun1+2)=$A$1,MONTH(JulSun1+2)=7),JulSun1+2,"")</f>
        <v/>
      </c>
      <c r="AA6" s="51" t="str">
        <f>IF(AND(YEAR(JulSun1+3)=$A$1,MONTH(JulSun1+3)=7),JulSun1+3,"")</f>
        <v/>
      </c>
      <c r="AB6" s="51" t="str">
        <f>IF(AND(YEAR(JulSun1+4)=$A$1,MONTH(JulSun1+4)=7),JulSun1+4,"")</f>
        <v/>
      </c>
      <c r="AC6" s="51">
        <f>IF(AND(YEAR(JulSun1+5)=$A$1,MONTH(JulSun1+5)=7),JulSun1+5,"")</f>
        <v>42552</v>
      </c>
      <c r="AD6" s="51">
        <f>IF(AND(YEAR(JulSun1+6)=$A$1,MONTH(JulSun1+6)=7),JulSun1+6,"")</f>
        <v>42553</v>
      </c>
      <c r="AE6" s="49"/>
      <c r="AF6" s="16"/>
      <c r="AG6" s="60"/>
      <c r="AH6" s="51" t="str">
        <f>IF(AND(YEAR(OctSun1)=$A$1,MONTH(OctSun1)=10),OctSun1,"")</f>
        <v/>
      </c>
      <c r="AI6" s="51" t="str">
        <f>IF(AND(YEAR(OctSun1+1)=$A$1,MONTH(OctSun1+1)=10),OctSun1+1,"")</f>
        <v/>
      </c>
      <c r="AJ6" s="51" t="str">
        <f>IF(AND(YEAR(OctSun1+2)=$A$1,MONTH(OctSun1+2)=10),OctSun1+2,"")</f>
        <v/>
      </c>
      <c r="AK6" s="51" t="str">
        <f>IF(AND(YEAR(OctSun1+3)=$A$1,MONTH(OctSun1+3)=10),OctSun1+3,"")</f>
        <v/>
      </c>
      <c r="AL6" s="51" t="str">
        <f>IF(AND(YEAR(OctSun1+4)=$A$1,MONTH(OctSun1+4)=10),OctSun1+4,"")</f>
        <v/>
      </c>
      <c r="AM6" s="51" t="str">
        <f>IF(AND(YEAR(OctSun1+5)=$A$1,MONTH(OctSun1+5)=10),OctSun1+5,"")</f>
        <v/>
      </c>
      <c r="AN6" s="51">
        <f>IF(AND(YEAR(OctSun1+6)=$A$1,MONTH(OctSun1+6)=10),OctSun1+6,"")</f>
        <v>42644</v>
      </c>
      <c r="AO6" s="44"/>
      <c r="AR6" s="19" t="s">
        <v>24</v>
      </c>
      <c r="AS6" s="4">
        <v>0.5</v>
      </c>
      <c r="AT6" s="4">
        <v>0.5</v>
      </c>
      <c r="AU6" s="4">
        <v>1</v>
      </c>
      <c r="AV6" s="4">
        <v>0</v>
      </c>
      <c r="AW6" s="4">
        <v>0</v>
      </c>
      <c r="AX6" s="5" t="s">
        <v>42</v>
      </c>
      <c r="AZ6" s="6">
        <v>1</v>
      </c>
    </row>
    <row r="7" spans="1:52" s="6" customFormat="1" ht="15.95" customHeight="1">
      <c r="A7" s="1">
        <v>0</v>
      </c>
      <c r="B7" s="61"/>
      <c r="C7" s="62"/>
      <c r="D7" s="53"/>
      <c r="E7" s="53"/>
      <c r="F7" s="53"/>
      <c r="G7" s="53"/>
      <c r="H7" s="52"/>
      <c r="I7" s="52"/>
      <c r="J7" s="52"/>
      <c r="K7" s="83"/>
      <c r="L7" s="84"/>
      <c r="M7" s="62"/>
      <c r="N7" s="53"/>
      <c r="O7" s="53"/>
      <c r="P7" s="53"/>
      <c r="Q7" s="52"/>
      <c r="R7" s="52"/>
      <c r="S7" s="52"/>
      <c r="T7" s="52"/>
      <c r="U7" s="83"/>
      <c r="V7" s="84"/>
      <c r="W7" s="62"/>
      <c r="X7" s="53"/>
      <c r="Y7" s="53"/>
      <c r="Z7" s="53"/>
      <c r="AA7" s="52"/>
      <c r="AB7" s="52"/>
      <c r="AC7" s="52"/>
      <c r="AD7" s="52"/>
      <c r="AE7" s="83"/>
      <c r="AF7" s="84"/>
      <c r="AG7" s="62"/>
      <c r="AH7" s="53"/>
      <c r="AI7" s="53"/>
      <c r="AJ7" s="53"/>
      <c r="AK7" s="53"/>
      <c r="AL7" s="52"/>
      <c r="AM7" s="52"/>
      <c r="AN7" s="52"/>
      <c r="AO7" s="45"/>
      <c r="AZ7" s="6">
        <v>1.5</v>
      </c>
    </row>
    <row r="8" spans="2:52" s="3" customFormat="1" ht="15.95" customHeight="1">
      <c r="B8" s="63"/>
      <c r="C8" s="60"/>
      <c r="D8" s="51">
        <f>IF(AND(YEAR(JanSun1+7)=$A$1,MONTH(JanSun1+7)=1),JanSun1+7,"")</f>
        <v>42372</v>
      </c>
      <c r="E8" s="51">
        <f>IF(AND(YEAR(JanSun1+8)=$A$1,MONTH(JanSun1+8)=1),JanSun1+8,"")</f>
        <v>42373</v>
      </c>
      <c r="F8" s="51">
        <f>IF(AND(YEAR(JanSun1+9)=$A$1,MONTH(JanSun1+9)=1),JanSun1+9,"")</f>
        <v>42374</v>
      </c>
      <c r="G8" s="51">
        <f>IF(AND(YEAR(JanSun1+10)=$A$1,MONTH(JanSun1+10)=1),JanSun1+10,"")</f>
        <v>42375</v>
      </c>
      <c r="H8" s="51">
        <f>IF(AND(YEAR(JanSun1+11)=$A$1,MONTH(JanSun1+11)=1),JanSun1+11,"")</f>
        <v>42376</v>
      </c>
      <c r="I8" s="51">
        <f>IF(AND(YEAR(JanSun1+12)=$A$1,MONTH(JanSun1+12)=1),JanSun1+12,"")</f>
        <v>42377</v>
      </c>
      <c r="J8" s="51">
        <f>IF(AND(YEAR(JanSun1+13)=$A$1,MONTH(JanSun1+13)=1),JanSun1+13,"")</f>
        <v>42378</v>
      </c>
      <c r="K8" s="49"/>
      <c r="L8" s="16"/>
      <c r="M8" s="60"/>
      <c r="N8" s="51">
        <f>IF(AND(YEAR(AprSun1+7)=$A$1,MONTH(AprSun1+7)=4),AprSun1+7,"")</f>
        <v>42463</v>
      </c>
      <c r="O8" s="51">
        <f>IF(AND(YEAR(AprSun1+8)=$A$1,MONTH(AprSun1+8)=4),AprSun1+8,"")</f>
        <v>42464</v>
      </c>
      <c r="P8" s="51">
        <f>IF(AND(YEAR(AprSun1+9)=$A$1,MONTH(AprSun1+9)=4),AprSun1+9,"")</f>
        <v>42465</v>
      </c>
      <c r="Q8" s="51">
        <f>IF(AND(YEAR(AprSun1+10)=$A$1,MONTH(AprSun1+10)=4),AprSun1+10,"")</f>
        <v>42466</v>
      </c>
      <c r="R8" s="51">
        <f>IF(AND(YEAR(AprSun1+11)=$A$1,MONTH(AprSun1+11)=4),AprSun1+11,"")</f>
        <v>42467</v>
      </c>
      <c r="S8" s="51">
        <f>IF(AND(YEAR(AprSun1+12)=$A$1,MONTH(AprSun1+12)=4),AprSun1+12,"")</f>
        <v>42468</v>
      </c>
      <c r="T8" s="51">
        <f>IF(AND(YEAR(AprSun1+13)=$A$1,MONTH(AprSun1+13)=4),AprSun1+13,"")</f>
        <v>42469</v>
      </c>
      <c r="U8" s="49"/>
      <c r="V8" s="16"/>
      <c r="W8" s="60"/>
      <c r="X8" s="51">
        <f>IF(AND(YEAR(JulSun1+7)=$A$1,MONTH(JulSun1+7)=7),JulSun1+7,"")</f>
        <v>42554</v>
      </c>
      <c r="Y8" s="51">
        <f>IF(AND(YEAR(JulSun1+8)=$A$1,MONTH(JulSun1+8)=7),JulSun1+8,"")</f>
        <v>42555</v>
      </c>
      <c r="Z8" s="51">
        <f>IF(AND(YEAR(JulSun1+9)=$A$1,MONTH(JulSun1+9)=7),JulSun1+9,"")</f>
        <v>42556</v>
      </c>
      <c r="AA8" s="51">
        <f>IF(AND(YEAR(JulSun1+10)=$A$1,MONTH(JulSun1+10)=7),JulSun1+10,"")</f>
        <v>42557</v>
      </c>
      <c r="AB8" s="51">
        <f>IF(AND(YEAR(JulSun1+11)=$A$1,MONTH(JulSun1+11)=7),JulSun1+11,"")</f>
        <v>42558</v>
      </c>
      <c r="AC8" s="51">
        <f>IF(AND(YEAR(JulSun1+12)=$A$1,MONTH(JulSun1+12)=7),JulSun1+12,"")</f>
        <v>42559</v>
      </c>
      <c r="AD8" s="51">
        <f>IF(AND(YEAR(JulSun1+13)=$A$1,MONTH(JulSun1+13)=7),JulSun1+13,"")</f>
        <v>42560</v>
      </c>
      <c r="AE8" s="49"/>
      <c r="AF8" s="16"/>
      <c r="AG8" s="60"/>
      <c r="AH8" s="51">
        <f>IF(AND(YEAR(OctSun1+7)=$A$1,MONTH(OctSun1+7)=10),OctSun1+7,"")</f>
        <v>42645</v>
      </c>
      <c r="AI8" s="51">
        <f>IF(AND(YEAR(OctSun1+8)=$A$1,MONTH(OctSun1+8)=10),OctSun1+8,"")</f>
        <v>42646</v>
      </c>
      <c r="AJ8" s="51">
        <f>IF(AND(YEAR(OctSun1+9)=$A$1,MONTH(OctSun1+9)=10),OctSun1+9,"")</f>
        <v>42647</v>
      </c>
      <c r="AK8" s="51">
        <f>IF(AND(YEAR(OctSun1+10)=$A$1,MONTH(OctSun1+10)=10),OctSun1+10,"")</f>
        <v>42648</v>
      </c>
      <c r="AL8" s="51">
        <f>IF(AND(YEAR(OctSun1+11)=$A$1,MONTH(OctSun1+11)=10),OctSun1+11,"")</f>
        <v>42649</v>
      </c>
      <c r="AM8" s="51">
        <f>IF(AND(YEAR(OctSun1+12)=$A$1,MONTH(OctSun1+12)=10),OctSun1+12,"")</f>
        <v>42650</v>
      </c>
      <c r="AN8" s="51">
        <f>IF(AND(YEAR(OctSun1+13)=$A$1,MONTH(OctSun1+13)=10),OctSun1+13,"")</f>
        <v>42651</v>
      </c>
      <c r="AO8" s="44"/>
      <c r="AR8" s="19" t="s">
        <v>38</v>
      </c>
      <c r="AS8" s="19">
        <v>2014</v>
      </c>
      <c r="AT8" s="20" t="s">
        <v>18</v>
      </c>
      <c r="AU8" s="19" t="s">
        <v>19</v>
      </c>
      <c r="AV8" s="19" t="s">
        <v>17</v>
      </c>
      <c r="AW8" s="19"/>
      <c r="AZ8" s="6">
        <v>2</v>
      </c>
    </row>
    <row r="9" spans="1:52" s="6" customFormat="1" ht="15.95" customHeight="1" thickBot="1">
      <c r="A9" s="105" t="s">
        <v>43</v>
      </c>
      <c r="B9" s="58"/>
      <c r="C9" s="62"/>
      <c r="D9" s="52"/>
      <c r="E9" s="52"/>
      <c r="F9" s="52"/>
      <c r="G9" s="52"/>
      <c r="H9" s="52"/>
      <c r="I9" s="52"/>
      <c r="J9" s="52"/>
      <c r="K9" s="83"/>
      <c r="L9" s="84"/>
      <c r="M9" s="62"/>
      <c r="N9" s="52"/>
      <c r="O9" s="52"/>
      <c r="P9" s="52"/>
      <c r="Q9" s="52"/>
      <c r="R9" s="52"/>
      <c r="S9" s="52"/>
      <c r="T9" s="52"/>
      <c r="U9" s="83"/>
      <c r="V9" s="84"/>
      <c r="W9" s="62"/>
      <c r="X9" s="52"/>
      <c r="Y9" s="52"/>
      <c r="Z9" s="52"/>
      <c r="AA9" s="52"/>
      <c r="AB9" s="52"/>
      <c r="AC9" s="52"/>
      <c r="AD9" s="52"/>
      <c r="AE9" s="83"/>
      <c r="AF9" s="84"/>
      <c r="AG9" s="62"/>
      <c r="AH9" s="52"/>
      <c r="AI9" s="52"/>
      <c r="AJ9" s="52"/>
      <c r="AK9" s="52"/>
      <c r="AL9" s="52"/>
      <c r="AM9" s="52"/>
      <c r="AN9" s="52"/>
      <c r="AO9" s="45"/>
      <c r="AR9" s="19"/>
      <c r="AS9" s="19" t="s">
        <v>37</v>
      </c>
      <c r="AT9" s="4" t="s">
        <v>2</v>
      </c>
      <c r="AU9" s="4" t="s">
        <v>22</v>
      </c>
      <c r="AV9" s="4" t="s">
        <v>20</v>
      </c>
      <c r="AW9" s="7" t="s">
        <v>23</v>
      </c>
      <c r="AZ9" s="18">
        <v>2.5</v>
      </c>
    </row>
    <row r="10" spans="1:52" s="3" customFormat="1" ht="15.95" customHeight="1" thickBot="1">
      <c r="A10" s="106" t="s">
        <v>36</v>
      </c>
      <c r="B10" s="58"/>
      <c r="C10" s="60"/>
      <c r="D10" s="51">
        <f>IF(AND(YEAR(JanSun1+14)=$A$1,MONTH(JanSun1+14)=1),JanSun1+14,"")</f>
        <v>42379</v>
      </c>
      <c r="E10" s="51">
        <f>IF(AND(YEAR(JanSun1+15)=$A$1,MONTH(JanSun1+15)=1),JanSun1+15,"")</f>
        <v>42380</v>
      </c>
      <c r="F10" s="51">
        <f>IF(AND(YEAR(JanSun1+16)=$A$1,MONTH(JanSun1+16)=1),JanSun1+16,"")</f>
        <v>42381</v>
      </c>
      <c r="G10" s="51">
        <f>IF(AND(YEAR(JanSun1+17)=$A$1,MONTH(JanSun1+17)=1),JanSun1+17,"")</f>
        <v>42382</v>
      </c>
      <c r="H10" s="51">
        <f>IF(AND(YEAR(JanSun1+18)=$A$1,MONTH(JanSun1+18)=1),JanSun1+18,"")</f>
        <v>42383</v>
      </c>
      <c r="I10" s="51">
        <f>IF(AND(YEAR(JanSun1+19)=$A$1,MONTH(JanSun1+19)=1),JanSun1+19,"")</f>
        <v>42384</v>
      </c>
      <c r="J10" s="51">
        <f>IF(AND(YEAR(JanSun1+20)=$A$1,MONTH(JanSun1+20)=1),JanSun1+20,"")</f>
        <v>42385</v>
      </c>
      <c r="K10" s="49"/>
      <c r="L10" s="16"/>
      <c r="M10" s="60"/>
      <c r="N10" s="51">
        <f>IF(AND(YEAR(AprSun1+14)=$A$1,MONTH(AprSun1+14)=4),AprSun1+14,"")</f>
        <v>42470</v>
      </c>
      <c r="O10" s="51">
        <f>IF(AND(YEAR(AprSun1+15)=$A$1,MONTH(AprSun1+15)=4),AprSun1+15,"")</f>
        <v>42471</v>
      </c>
      <c r="P10" s="51">
        <f>IF(AND(YEAR(AprSun1+16)=$A$1,MONTH(AprSun1+16)=4),AprSun1+16,"")</f>
        <v>42472</v>
      </c>
      <c r="Q10" s="51">
        <f>IF(AND(YEAR(AprSun1+17)=$A$1,MONTH(AprSun1+17)=4),AprSun1+17,"")</f>
        <v>42473</v>
      </c>
      <c r="R10" s="51">
        <f>IF(AND(YEAR(AprSun1+18)=$A$1,MONTH(AprSun1+18)=4),AprSun1+18,"")</f>
        <v>42474</v>
      </c>
      <c r="S10" s="51">
        <f>IF(AND(YEAR(AprSun1+19)=$A$1,MONTH(AprSun1+19)=4),AprSun1+19,"")</f>
        <v>42475</v>
      </c>
      <c r="T10" s="51">
        <f>IF(AND(YEAR(AprSun1+20)=$A$1,MONTH(AprSun1+20)=4),AprSun1+20,"")</f>
        <v>42476</v>
      </c>
      <c r="U10" s="49"/>
      <c r="V10" s="16"/>
      <c r="W10" s="60"/>
      <c r="X10" s="51">
        <f>IF(AND(YEAR(JulSun1+14)=$A$1,MONTH(JulSun1+14)=7),JulSun1+14,"")</f>
        <v>42561</v>
      </c>
      <c r="Y10" s="51">
        <f>IF(AND(YEAR(JulSun1+15)=$A$1,MONTH(JulSun1+15)=7),JulSun1+15,"")</f>
        <v>42562</v>
      </c>
      <c r="Z10" s="51">
        <f>IF(AND(YEAR(JulSun1+16)=$A$1,MONTH(JulSun1+16)=7),JulSun1+16,"")</f>
        <v>42563</v>
      </c>
      <c r="AA10" s="51">
        <f>IF(AND(YEAR(JulSun1+17)=$A$1,MONTH(JulSun1+17)=7),JulSun1+17,"")</f>
        <v>42564</v>
      </c>
      <c r="AB10" s="51">
        <f>IF(AND(YEAR(JulSun1+18)=$A$1,MONTH(JulSun1+18)=7),JulSun1+18,"")</f>
        <v>42565</v>
      </c>
      <c r="AC10" s="51">
        <f>IF(AND(YEAR(JulSun1+19)=$A$1,MONTH(JulSun1+19)=7),JulSun1+19,"")</f>
        <v>42566</v>
      </c>
      <c r="AD10" s="51">
        <f>IF(AND(YEAR(JulSun1+20)=$A$1,MONTH(JulSun1+20)=7),JulSun1+20,"")</f>
        <v>42567</v>
      </c>
      <c r="AE10" s="49"/>
      <c r="AF10" s="16"/>
      <c r="AG10" s="60"/>
      <c r="AH10" s="51">
        <f>IF(AND(YEAR(OctSun1+14)=$A$1,MONTH(OctSun1+14)=10),OctSun1+14,"")</f>
        <v>42652</v>
      </c>
      <c r="AI10" s="51">
        <f>IF(AND(YEAR(OctSun1+15)=$A$1,MONTH(OctSun1+15)=10),OctSun1+15,"")</f>
        <v>42653</v>
      </c>
      <c r="AJ10" s="51">
        <f>IF(AND(YEAR(OctSun1+16)=$A$1,MONTH(OctSun1+16)=10),OctSun1+16,"")</f>
        <v>42654</v>
      </c>
      <c r="AK10" s="51">
        <f>IF(AND(YEAR(OctSun1+17)=$A$1,MONTH(OctSun1+17)=10),OctSun1+17,"")</f>
        <v>42655</v>
      </c>
      <c r="AL10" s="51">
        <f>IF(AND(YEAR(OctSun1+18)=$A$1,MONTH(OctSun1+18)=10),OctSun1+18,"")</f>
        <v>42656</v>
      </c>
      <c r="AM10" s="51">
        <f>IF(AND(YEAR(OctSun1+19)=$A$1,MONTH(OctSun1+19)=10),OctSun1+19,"")</f>
        <v>42657</v>
      </c>
      <c r="AN10" s="51">
        <f>IF(AND(YEAR(OctSun1+20)=$A$1,MONTH(OctSun1+20)=10),OctSun1+20,"")</f>
        <v>42658</v>
      </c>
      <c r="AO10" s="44"/>
      <c r="AR10" s="19" t="s">
        <v>24</v>
      </c>
      <c r="AS10" s="19">
        <f>A7</f>
        <v>0</v>
      </c>
      <c r="AT10" s="4">
        <f>F18+F33+F52+P18+P35+P52+Z18+Z35+Z52+AJ18+AJ35+AJ52</f>
        <v>0</v>
      </c>
      <c r="AU10" s="8">
        <f>J18+J33+J52+T52+T35+T18+AD18+AD35+AD52+AN52+AN35+AN18+AR26</f>
        <v>0</v>
      </c>
      <c r="AV10" s="9">
        <f>SUM(H18,H33,H52,R52,R35,R18,AB18,AB35,AB52,AL52,AL35,AL18)</f>
        <v>0</v>
      </c>
      <c r="AW10" s="10">
        <f>AS10+(AT10*0.5)+AU10+(AV10*0.5)</f>
        <v>0</v>
      </c>
      <c r="AZ10" s="6">
        <v>3</v>
      </c>
    </row>
    <row r="11" spans="1:52" s="6" customFormat="1" ht="15.95" customHeight="1">
      <c r="A11" s="108" t="s">
        <v>45</v>
      </c>
      <c r="B11" s="58"/>
      <c r="C11" s="62"/>
      <c r="D11" s="52"/>
      <c r="E11" s="52"/>
      <c r="F11" s="52"/>
      <c r="G11" s="52"/>
      <c r="H11" s="52"/>
      <c r="I11" s="52"/>
      <c r="J11" s="52"/>
      <c r="K11" s="83"/>
      <c r="L11" s="84"/>
      <c r="M11" s="62"/>
      <c r="N11" s="52"/>
      <c r="O11" s="52"/>
      <c r="P11" s="52"/>
      <c r="Q11" s="52"/>
      <c r="R11" s="52"/>
      <c r="S11" s="52"/>
      <c r="T11" s="52"/>
      <c r="U11" s="83"/>
      <c r="V11" s="84"/>
      <c r="W11" s="62"/>
      <c r="X11" s="52"/>
      <c r="Y11" s="52"/>
      <c r="Z11" s="52"/>
      <c r="AA11" s="52"/>
      <c r="AB11" s="52"/>
      <c r="AC11" s="52"/>
      <c r="AD11" s="52"/>
      <c r="AE11" s="83"/>
      <c r="AF11" s="84"/>
      <c r="AG11" s="62"/>
      <c r="AH11" s="52"/>
      <c r="AI11" s="52"/>
      <c r="AJ11" s="52"/>
      <c r="AK11" s="52"/>
      <c r="AL11" s="52"/>
      <c r="AM11" s="52"/>
      <c r="AN11" s="52"/>
      <c r="AO11" s="45"/>
      <c r="AZ11" s="6">
        <v>3.5</v>
      </c>
    </row>
    <row r="12" spans="1:52" s="3" customFormat="1" ht="15.95" customHeight="1">
      <c r="A12" s="1">
        <v>0</v>
      </c>
      <c r="B12" s="61"/>
      <c r="C12" s="60"/>
      <c r="D12" s="51">
        <f>IF(AND(YEAR(JanSun1+21)=$A$1,MONTH(JanSun1+21)=1),JanSun1+21,"")</f>
        <v>42386</v>
      </c>
      <c r="E12" s="51">
        <f>IF(AND(YEAR(JanSun1+22)=$A$1,MONTH(JanSun1+22)=1),JanSun1+22,"")</f>
        <v>42387</v>
      </c>
      <c r="F12" s="51">
        <f>IF(AND(YEAR(JanSun1+23)=$A$1,MONTH(JanSun1+23)=1),JanSun1+23,"")</f>
        <v>42388</v>
      </c>
      <c r="G12" s="51">
        <f>IF(AND(YEAR(JanSun1+24)=$A$1,MONTH(JanSun1+24)=1),JanSun1+24,"")</f>
        <v>42389</v>
      </c>
      <c r="H12" s="51">
        <f>IF(AND(YEAR(JanSun1+25)=$A$1,MONTH(JanSun1+25)=1),JanSun1+25,"")</f>
        <v>42390</v>
      </c>
      <c r="I12" s="51">
        <f>IF(AND(YEAR(JanSun1+26)=$A$1,MONTH(JanSun1+26)=1),JanSun1+26,"")</f>
        <v>42391</v>
      </c>
      <c r="J12" s="51">
        <f>IF(AND(YEAR(JanSun1+27)=$A$1,MONTH(JanSun1+27)=1),JanSun1+27,"")</f>
        <v>42392</v>
      </c>
      <c r="K12" s="49"/>
      <c r="L12" s="16"/>
      <c r="M12" s="60"/>
      <c r="N12" s="51">
        <f>IF(AND(YEAR(AprSun1+21)=$A$1,MONTH(AprSun1+21)=4),AprSun1+21,"")</f>
        <v>42477</v>
      </c>
      <c r="O12" s="51">
        <f>IF(AND(YEAR(AprSun1+22)=$A$1,MONTH(AprSun1+22)=4),AprSun1+22,"")</f>
        <v>42478</v>
      </c>
      <c r="P12" s="51">
        <f>IF(AND(YEAR(AprSun1+23)=$A$1,MONTH(AprSun1+23)=4),AprSun1+23,"")</f>
        <v>42479</v>
      </c>
      <c r="Q12" s="51">
        <f>IF(AND(YEAR(AprSun1+24)=$A$1,MONTH(AprSun1+24)=4),AprSun1+24,"")</f>
        <v>42480</v>
      </c>
      <c r="R12" s="51">
        <f>IF(AND(YEAR(AprSun1+25)=$A$1,MONTH(AprSun1+25)=4),AprSun1+25,"")</f>
        <v>42481</v>
      </c>
      <c r="S12" s="51">
        <f>IF(AND(YEAR(AprSun1+26)=$A$1,MONTH(AprSun1+26)=4),AprSun1+26,"")</f>
        <v>42482</v>
      </c>
      <c r="T12" s="51">
        <f>IF(AND(YEAR(AprSun1+27)=$A$1,MONTH(AprSun1+27)=4),AprSun1+27,"")</f>
        <v>42483</v>
      </c>
      <c r="U12" s="49"/>
      <c r="V12" s="16"/>
      <c r="W12" s="60"/>
      <c r="X12" s="51">
        <f>IF(AND(YEAR(JulSun1+21)=$A$1,MONTH(JulSun1+21)=7),JulSun1+21,"")</f>
        <v>42568</v>
      </c>
      <c r="Y12" s="51">
        <f>IF(AND(YEAR(JulSun1+22)=$A$1,MONTH(JulSun1+22)=7),JulSun1+22,"")</f>
        <v>42569</v>
      </c>
      <c r="Z12" s="51">
        <f>IF(AND(YEAR(JulSun1+23)=$A$1,MONTH(JulSun1+23)=7),JulSun1+23,"")</f>
        <v>42570</v>
      </c>
      <c r="AA12" s="51">
        <f>IF(AND(YEAR(JulSun1+24)=$A$1,MONTH(JulSun1+24)=7),JulSun1+24,"")</f>
        <v>42571</v>
      </c>
      <c r="AB12" s="51">
        <f>IF(AND(YEAR(JulSun1+25)=$A$1,MONTH(JulSun1+25)=7),JulSun1+25,"")</f>
        <v>42572</v>
      </c>
      <c r="AC12" s="51">
        <f>IF(AND(YEAR(JulSun1+26)=$A$1,MONTH(JulSun1+26)=7),JulSun1+26,"")</f>
        <v>42573</v>
      </c>
      <c r="AD12" s="51">
        <f>IF(AND(YEAR(JulSun1+27)=$A$1,MONTH(JulSun1+27)=7),JulSun1+27,"")</f>
        <v>42574</v>
      </c>
      <c r="AE12" s="49"/>
      <c r="AF12" s="16"/>
      <c r="AG12" s="60"/>
      <c r="AH12" s="51">
        <f>IF(AND(YEAR(OctSun1+21)=$A$1,MONTH(OctSun1+21)=10),OctSun1+21,"")</f>
        <v>42659</v>
      </c>
      <c r="AI12" s="51">
        <f>IF(AND(YEAR(OctSun1+22)=$A$1,MONTH(OctSun1+22)=10),OctSun1+22,"")</f>
        <v>42660</v>
      </c>
      <c r="AJ12" s="51">
        <f>IF(AND(YEAR(OctSun1+23)=$A$1,MONTH(OctSun1+23)=10),OctSun1+23,"")</f>
        <v>42661</v>
      </c>
      <c r="AK12" s="51">
        <f>IF(AND(YEAR(OctSun1+24)=$A$1,MONTH(OctSun1+24)=10),OctSun1+24,"")</f>
        <v>42662</v>
      </c>
      <c r="AL12" s="51">
        <f>IF(AND(YEAR(OctSun1+25)=$A$1,MONTH(OctSun1+25)=10),OctSun1+25,"")</f>
        <v>42663</v>
      </c>
      <c r="AM12" s="51">
        <f>IF(AND(YEAR(OctSun1+26)=$A$1,MONTH(OctSun1+26)=10),OctSun1+26,"")</f>
        <v>42664</v>
      </c>
      <c r="AN12" s="51">
        <f>IF(AND(YEAR(OctSun1+27)=$A$1,MONTH(OctSun1+27)=10),OctSun1+27,"")</f>
        <v>42665</v>
      </c>
      <c r="AO12" s="44"/>
      <c r="AR12" s="19" t="s">
        <v>24</v>
      </c>
      <c r="AS12" s="4">
        <v>4</v>
      </c>
      <c r="AT12" s="129" t="s">
        <v>27</v>
      </c>
      <c r="AU12" s="130"/>
      <c r="AZ12" s="6">
        <v>4</v>
      </c>
    </row>
    <row r="13" spans="2:52" s="6" customFormat="1" ht="15.95" customHeight="1">
      <c r="B13" s="64"/>
      <c r="C13" s="62"/>
      <c r="D13" s="52"/>
      <c r="E13" s="52"/>
      <c r="F13" s="52"/>
      <c r="G13" s="52"/>
      <c r="H13" s="52"/>
      <c r="I13" s="52"/>
      <c r="J13" s="52"/>
      <c r="K13" s="83"/>
      <c r="L13" s="84"/>
      <c r="M13" s="62"/>
      <c r="N13" s="52"/>
      <c r="O13" s="52"/>
      <c r="P13" s="52"/>
      <c r="Q13" s="52"/>
      <c r="R13" s="52"/>
      <c r="S13" s="52"/>
      <c r="T13" s="52"/>
      <c r="U13" s="83"/>
      <c r="V13" s="84"/>
      <c r="W13" s="62"/>
      <c r="X13" s="52"/>
      <c r="Y13" s="52"/>
      <c r="Z13" s="52"/>
      <c r="AA13" s="52"/>
      <c r="AB13" s="52"/>
      <c r="AC13" s="52"/>
      <c r="AD13" s="52"/>
      <c r="AE13" s="83"/>
      <c r="AF13" s="84"/>
      <c r="AG13" s="62"/>
      <c r="AH13" s="52"/>
      <c r="AI13" s="52"/>
      <c r="AJ13" s="52"/>
      <c r="AK13" s="52"/>
      <c r="AL13" s="52"/>
      <c r="AM13" s="52"/>
      <c r="AN13" s="52"/>
      <c r="AO13" s="45"/>
      <c r="AR13" s="17">
        <f>AS10+(AT10*0.5)+AU10+(AV10*0.5)</f>
        <v>0</v>
      </c>
      <c r="AS13" s="4">
        <v>6</v>
      </c>
      <c r="AT13" s="131" t="s">
        <v>28</v>
      </c>
      <c r="AU13" s="132"/>
      <c r="AZ13" s="6">
        <v>4.5</v>
      </c>
    </row>
    <row r="14" spans="2:52" s="3" customFormat="1" ht="15.95" customHeight="1">
      <c r="B14" s="63"/>
      <c r="C14" s="60"/>
      <c r="D14" s="51">
        <f>IF(AND(YEAR(JanSun1+28)=$A$1,MONTH(JanSun1+28)=1),JanSun1+28,"")</f>
        <v>42393</v>
      </c>
      <c r="E14" s="51">
        <f>IF(AND(YEAR(JanSun1+29)=$A$1,MONTH(JanSun1+29)=1),JanSun1+29,"")</f>
        <v>42394</v>
      </c>
      <c r="F14" s="51">
        <f>IF(AND(YEAR(JanSun1+30)=$A$1,MONTH(JanSun1+30)=1),JanSun1+30,"")</f>
        <v>42395</v>
      </c>
      <c r="G14" s="51">
        <f>IF(AND(YEAR(JanSun1+31)=$A$1,MONTH(JanSun1+31)=1),JanSun1+31,"")</f>
        <v>42396</v>
      </c>
      <c r="H14" s="51">
        <f>IF(AND(YEAR(JanSun1+32)=$A$1,MONTH(JanSun1+32)=1),JanSun1+32,"")</f>
        <v>42397</v>
      </c>
      <c r="I14" s="51">
        <f>IF(AND(YEAR(JanSun1+33)=$A$1,MONTH(JanSun1+33)=1),JanSun1+33,"")</f>
        <v>42398</v>
      </c>
      <c r="J14" s="51">
        <f>IF(AND(YEAR(JanSun1+34)=$A$1,MONTH(JanSun1+34)=1),JanSun1+34,"")</f>
        <v>42399</v>
      </c>
      <c r="K14" s="49"/>
      <c r="L14" s="16"/>
      <c r="M14" s="60"/>
      <c r="N14" s="51">
        <f>IF(AND(YEAR(AprSun1+28)=$A$1,MONTH(AprSun1+28)=4),AprSun1+28,"")</f>
        <v>42484</v>
      </c>
      <c r="O14" s="51">
        <f>IF(AND(YEAR(AprSun1+29)=$A$1,MONTH(AprSun1+29)=4),AprSun1+29,"")</f>
        <v>42485</v>
      </c>
      <c r="P14" s="51">
        <f>IF(AND(YEAR(AprSun1+30)=$A$1,MONTH(AprSun1+30)=4),AprSun1+30,"")</f>
        <v>42486</v>
      </c>
      <c r="Q14" s="51">
        <f>IF(AND(YEAR(AprSun1+31)=$A$1,MONTH(AprSun1+31)=4),AprSun1+31,"")</f>
        <v>42487</v>
      </c>
      <c r="R14" s="51">
        <f>IF(AND(YEAR(AprSun1+32)=$A$1,MONTH(AprSun1+32)=4),AprSun1+32,"")</f>
        <v>42488</v>
      </c>
      <c r="S14" s="51">
        <f>IF(AND(YEAR(AprSun1+33)=$A$1,MONTH(AprSun1+33)=4),AprSun1+33,"")</f>
        <v>42489</v>
      </c>
      <c r="T14" s="51">
        <f>IF(AND(YEAR(AprSun1+34)=$A$1,MONTH(AprSun1+34)=4),AprSun1+34,"")</f>
        <v>42490</v>
      </c>
      <c r="U14" s="49"/>
      <c r="V14" s="16"/>
      <c r="W14" s="60"/>
      <c r="X14" s="51">
        <f>IF(AND(YEAR(JulSun1+28)=$A$1,MONTH(JulSun1+28)=7),JulSun1+28,"")</f>
        <v>42575</v>
      </c>
      <c r="Y14" s="51">
        <f>IF(AND(YEAR(JulSun1+29)=$A$1,MONTH(JulSun1+29)=7),JulSun1+29,"")</f>
        <v>42576</v>
      </c>
      <c r="Z14" s="51">
        <f>IF(AND(YEAR(JulSun1+30)=$A$1,MONTH(JulSun1+30)=7),JulSun1+30,"")</f>
        <v>42577</v>
      </c>
      <c r="AA14" s="51">
        <f>IF(AND(YEAR(JulSun1+31)=$A$1,MONTH(JulSun1+31)=7),JulSun1+31,"")</f>
        <v>42578</v>
      </c>
      <c r="AB14" s="51">
        <f>IF(AND(YEAR(JulSun1+32)=$A$1,MONTH(JulSun1+32)=7),JulSun1+32,"")</f>
        <v>42579</v>
      </c>
      <c r="AC14" s="51">
        <f>IF(AND(YEAR(JulSun1+33)=$A$1,MONTH(JulSun1+33)=7),JulSun1+33,"")</f>
        <v>42580</v>
      </c>
      <c r="AD14" s="51">
        <f>IF(AND(YEAR(JulSun1+34)=$A$1,MONTH(JulSun1+34)=7),JulSun1+34,"")</f>
        <v>42581</v>
      </c>
      <c r="AE14" s="49"/>
      <c r="AF14" s="16"/>
      <c r="AG14" s="60"/>
      <c r="AH14" s="51">
        <f>IF(AND(YEAR(OctSun1+28)=$A$1,MONTH(OctSun1+28)=10),OctSun1+28,"")</f>
        <v>42666</v>
      </c>
      <c r="AI14" s="51">
        <f>IF(AND(YEAR(OctSun1+29)=$A$1,MONTH(OctSun1+29)=10),OctSun1+29,"")</f>
        <v>42667</v>
      </c>
      <c r="AJ14" s="51">
        <f>IF(AND(YEAR(OctSun1+30)=$A$1,MONTH(OctSun1+30)=10),OctSun1+30,"")</f>
        <v>42668</v>
      </c>
      <c r="AK14" s="51">
        <f>IF(AND(YEAR(OctSun1+31)=$A$1,MONTH(OctSun1+31)=10),OctSun1+31,"")</f>
        <v>42669</v>
      </c>
      <c r="AL14" s="51">
        <f>IF(AND(YEAR(OctSun1+32)=$A$1,MONTH(OctSun1+32)=10),OctSun1+32,"")</f>
        <v>42670</v>
      </c>
      <c r="AM14" s="51">
        <f>IF(AND(YEAR(OctSun1+33)=$A$1,MONTH(OctSun1+33)=10),OctSun1+33,"")</f>
        <v>42671</v>
      </c>
      <c r="AN14" s="51">
        <f>IF(AND(YEAR(OctSun1+34)=$A$1,MONTH(OctSun1+34)=10),OctSun1+34,"")</f>
        <v>42672</v>
      </c>
      <c r="AO14" s="44"/>
      <c r="AR14" s="19"/>
      <c r="AS14" s="4">
        <v>8</v>
      </c>
      <c r="AT14" s="121" t="s">
        <v>29</v>
      </c>
      <c r="AU14" s="122"/>
      <c r="AZ14" s="18">
        <v>5</v>
      </c>
    </row>
    <row r="15" spans="1:52" s="6" customFormat="1" ht="15.95" customHeight="1">
      <c r="A15" s="3"/>
      <c r="B15" s="63"/>
      <c r="C15" s="60"/>
      <c r="D15" s="52"/>
      <c r="E15" s="52"/>
      <c r="F15" s="52"/>
      <c r="G15" s="52"/>
      <c r="H15" s="52"/>
      <c r="I15" s="52"/>
      <c r="J15" s="52"/>
      <c r="K15" s="49"/>
      <c r="L15" s="16"/>
      <c r="M15" s="60"/>
      <c r="N15" s="52"/>
      <c r="O15" s="52"/>
      <c r="P15" s="52"/>
      <c r="Q15" s="52"/>
      <c r="R15" s="52"/>
      <c r="S15" s="52"/>
      <c r="T15" s="52"/>
      <c r="U15" s="49"/>
      <c r="V15" s="16"/>
      <c r="W15" s="60"/>
      <c r="X15" s="52"/>
      <c r="Y15" s="52"/>
      <c r="Z15" s="52"/>
      <c r="AA15" s="52"/>
      <c r="AB15" s="52"/>
      <c r="AC15" s="52"/>
      <c r="AD15" s="109"/>
      <c r="AE15" s="49"/>
      <c r="AF15" s="16"/>
      <c r="AG15" s="60"/>
      <c r="AH15" s="52"/>
      <c r="AI15" s="52"/>
      <c r="AJ15" s="52"/>
      <c r="AK15" s="52"/>
      <c r="AL15" s="52"/>
      <c r="AM15" s="52"/>
      <c r="AN15" s="52"/>
      <c r="AO15" s="44"/>
      <c r="AP15" s="3"/>
      <c r="AQ15" s="3"/>
      <c r="AR15" s="19"/>
      <c r="AS15" s="4">
        <v>10</v>
      </c>
      <c r="AT15" s="123" t="s">
        <v>30</v>
      </c>
      <c r="AU15" s="124"/>
      <c r="AZ15" s="6">
        <v>5.5</v>
      </c>
    </row>
    <row r="16" spans="1:52" s="6" customFormat="1" ht="15.95" customHeight="1">
      <c r="A16" s="3"/>
      <c r="B16" s="63"/>
      <c r="C16" s="60"/>
      <c r="D16" s="51">
        <f>IF(AND(YEAR(JanSun1+35)=$A$1,MONTH(JanSun1+35)=1),JanSun1+35,"")</f>
        <v>42400</v>
      </c>
      <c r="E16" s="51" t="str">
        <f>IF(AND(YEAR(JanSun1+36)=$A$1,MONTH(JanSun1+36)=1),JanSun1+36,"")</f>
        <v/>
      </c>
      <c r="F16" s="51" t="str">
        <f>IF(AND(YEAR(JanSun1+37)=$A$1,MONTH(JanSun1+37)=1),JanSun1+37,"")</f>
        <v/>
      </c>
      <c r="G16" s="51" t="str">
        <f>IF(AND(YEAR(JanSun1+38)=$A$1,MONTH(JanSun1+38)=1),JanSun1+38,"")</f>
        <v/>
      </c>
      <c r="H16" s="51" t="str">
        <f>IF(AND(YEAR(JanSun1+39)=$A$1,MONTH(JanSun1+39)=1),JanSun1+39,"")</f>
        <v/>
      </c>
      <c r="I16" s="51" t="str">
        <f>IF(AND(YEAR(JanSun1+40)=$A$1,MONTH(JanSun1+40)=1),JanSun1+40,"")</f>
        <v/>
      </c>
      <c r="J16" s="51" t="str">
        <f>IF(AND(YEAR(JanSun1+41)=$A$1,MONTH(JanSun1+41)=1),JanSun1+41,"")</f>
        <v/>
      </c>
      <c r="K16" s="49"/>
      <c r="L16" s="16"/>
      <c r="M16" s="60"/>
      <c r="N16" s="51" t="str">
        <f>IF(AND(YEAR(AprSun1+35)=$A$1,MONTH(AprSun1+35)=4),AprSun1+35,"")</f>
        <v/>
      </c>
      <c r="O16" s="51" t="str">
        <f>IF(AND(YEAR(AprSun1+36)=$A$1,MONTH(AprSun1+36)=4),AprSun1+36,"")</f>
        <v/>
      </c>
      <c r="P16" s="51" t="str">
        <f>IF(AND(YEAR(AprSun1+37)=$A$1,MONTH(AprSun1+37)=4),AprSun1+37,"")</f>
        <v/>
      </c>
      <c r="Q16" s="51" t="str">
        <f>IF(AND(YEAR(AprSun1+38)=$A$1,MONTH(AprSun1+38)=4),AprSun1+38,"")</f>
        <v/>
      </c>
      <c r="R16" s="51" t="str">
        <f>IF(AND(YEAR(AprSun1+39)=$A$1,MONTH(AprSun1+39)=4),AprSun1+39,"")</f>
        <v/>
      </c>
      <c r="S16" s="51" t="str">
        <f>IF(AND(YEAR(AprSun1+40)=$A$1,MONTH(AprSun1+40)=4),AprSun1+40,"")</f>
        <v/>
      </c>
      <c r="T16" s="51" t="str">
        <f>IF(AND(YEAR(AprSun1+41)=$A$1,MONTH(AprSun1+41)=4),AprSun1+41,"")</f>
        <v/>
      </c>
      <c r="U16" s="49"/>
      <c r="V16" s="16"/>
      <c r="W16" s="60"/>
      <c r="X16" s="51">
        <f>IF(AND(YEAR(JulSun1+35)=$A$1,MONTH(JulSun1+35)=7),JulSun1+35,"")</f>
        <v>42582</v>
      </c>
      <c r="Y16" s="51" t="str">
        <f>IF(AND(YEAR(JulSun1+36)=$A$1,MONTH(JulSun1+36)=7),JulSun1+36,"")</f>
        <v/>
      </c>
      <c r="Z16" s="51" t="str">
        <f>IF(AND(YEAR(JulSun1+37)=$A$1,MONTH(JulSun1+37)=7),JulSun1+37,"")</f>
        <v/>
      </c>
      <c r="AA16" s="51" t="str">
        <f>IF(AND(YEAR(JulSun1+38)=$A$1,MONTH(JulSun1+38)=7),JulSun1+38,"")</f>
        <v/>
      </c>
      <c r="AB16" s="51" t="str">
        <f>IF(AND(YEAR(JulSun1+39)=$A$1,MONTH(JulSun1+39)=7),JulSun1+39,"")</f>
        <v/>
      </c>
      <c r="AC16" s="51" t="str">
        <f>IF(AND(YEAR(JulSun1+40)=$A$1,MONTH(JulSun1+40)=7),JulSun1+40,"")</f>
        <v/>
      </c>
      <c r="AD16" s="51" t="str">
        <f>IF(AND(YEAR(JulSun1+41)=$A$1,MONTH(JulSun1+41)=7),JulSun1+41,"")</f>
        <v/>
      </c>
      <c r="AE16" s="49"/>
      <c r="AF16" s="16"/>
      <c r="AG16" s="60"/>
      <c r="AH16" s="51">
        <f>IF(AND(YEAR(OctSun1+35)=$A$1,MONTH(OctSun1+35)=10),OctSun1+35,"")</f>
        <v>42673</v>
      </c>
      <c r="AI16" s="51">
        <f>IF(AND(YEAR(OctSun1+36)=$A$1,MONTH(OctSun1+36)=10),OctSun1+36,"")</f>
        <v>42674</v>
      </c>
      <c r="AJ16" s="51" t="str">
        <f>IF(AND(YEAR(OctSun1+37)=$A$1,MONTH(OctSun1+37)=10),OctSun1+37,"")</f>
        <v/>
      </c>
      <c r="AK16" s="51" t="str">
        <f>IF(AND(YEAR(OctSun1+38)=$A$1,MONTH(OctSun1+38)=10),OctSun1+38,"")</f>
        <v/>
      </c>
      <c r="AL16" s="51" t="str">
        <f>IF(AND(YEAR(OctSun1+39)=$A$1,MONTH(OctSun1+39)=10),OctSun1+39,"")</f>
        <v/>
      </c>
      <c r="AM16" s="51" t="str">
        <f>IF(AND(YEAR(OctSun1+40)=$A$1,MONTH(OctSun1+40)=10),OctSun1+40,"")</f>
        <v/>
      </c>
      <c r="AN16" s="51" t="str">
        <f>IF(AND(YEAR(OctSun1+41)=$A$1,MONTH(OctSun1+41)=10),OctSun1+41,"")</f>
        <v/>
      </c>
      <c r="AO16" s="44"/>
      <c r="AP16" s="3"/>
      <c r="AQ16" s="3"/>
      <c r="AR16" s="12"/>
      <c r="AZ16" s="6">
        <v>6</v>
      </c>
    </row>
    <row r="17" spans="2:52" s="6" customFormat="1" ht="15.95" customHeight="1">
      <c r="B17" s="64"/>
      <c r="C17" s="62"/>
      <c r="D17" s="52"/>
      <c r="E17" s="53"/>
      <c r="F17" s="53"/>
      <c r="G17" s="53"/>
      <c r="H17" s="53"/>
      <c r="I17" s="53"/>
      <c r="J17" s="53"/>
      <c r="K17" s="48" t="s">
        <v>21</v>
      </c>
      <c r="L17" s="16"/>
      <c r="M17" s="62"/>
      <c r="N17" s="53"/>
      <c r="O17" s="53"/>
      <c r="P17" s="53"/>
      <c r="Q17" s="53"/>
      <c r="R17" s="53"/>
      <c r="S17" s="53"/>
      <c r="T17" s="53"/>
      <c r="U17" s="48" t="s">
        <v>21</v>
      </c>
      <c r="V17" s="16"/>
      <c r="W17" s="62"/>
      <c r="X17" s="52"/>
      <c r="Y17" s="53"/>
      <c r="Z17" s="53"/>
      <c r="AA17" s="53"/>
      <c r="AB17" s="53"/>
      <c r="AC17" s="53"/>
      <c r="AD17" s="53"/>
      <c r="AE17" s="48" t="s">
        <v>21</v>
      </c>
      <c r="AF17" s="16"/>
      <c r="AG17" s="62"/>
      <c r="AH17" s="52"/>
      <c r="AI17" s="52"/>
      <c r="AJ17" s="53"/>
      <c r="AK17" s="53"/>
      <c r="AL17" s="53"/>
      <c r="AM17" s="53"/>
      <c r="AN17" s="53"/>
      <c r="AO17" s="46" t="s">
        <v>21</v>
      </c>
      <c r="AP17" s="3"/>
      <c r="AQ17" s="3"/>
      <c r="AR17" s="20" t="s">
        <v>32</v>
      </c>
      <c r="AS17" s="4">
        <v>6</v>
      </c>
      <c r="AT17" s="127" t="s">
        <v>27</v>
      </c>
      <c r="AU17" s="128"/>
      <c r="AZ17" s="6">
        <v>6.5</v>
      </c>
    </row>
    <row r="18" spans="1:52" s="3" customFormat="1" ht="15.95" customHeight="1" thickBot="1">
      <c r="A18" s="6"/>
      <c r="B18" s="64"/>
      <c r="C18" s="65" t="s">
        <v>35</v>
      </c>
      <c r="D18" s="110">
        <f>COUNTIF(D7:J7,"AC")+COUNTIF(D9:J9,"AC")+COUNTIF(D11:J11,"AC")+COUNTIF(D13:J13,"AC")+COUNTIF(D15:J15,"AC")+COUNTIF(D17:J17,"AC")</f>
        <v>0</v>
      </c>
      <c r="E18" s="111" t="s">
        <v>2</v>
      </c>
      <c r="F18" s="110">
        <f>COUNTIF(D7:J7,"T")+COUNTIF(D9:J9,"T")+COUNTIF(D11:J11,"T")+COUNTIF(D13:J13,"T")+COUNTIF(D15:J15,"T")+COUNTIF(D17:J17,"T")</f>
        <v>0</v>
      </c>
      <c r="G18" s="111" t="s">
        <v>20</v>
      </c>
      <c r="H18" s="110">
        <f>COUNTIF(D7:J7,"MP")+COUNTIF(D9:J9,"MP")+COUNTIF(D11:J11,"MP")+COUNTIF(D13:J13,"MP")+COUNTIF(D15:J15,"MP")+COUNTIF(D17:J17,"MP")</f>
        <v>0</v>
      </c>
      <c r="I18" s="111" t="s">
        <v>22</v>
      </c>
      <c r="J18" s="110">
        <f>COUNTIF(D7:J7,"A")+COUNTIF(D9:J9,"A")+COUNTIF(D11:J11,"A")+COUNTIF(D13:J13,"A")+COUNTIF(D15:J15,"A")+COUNTIF(D17:J17,"A")</f>
        <v>0</v>
      </c>
      <c r="K18" s="54">
        <f>SUM((F18*0.5)+(H18*0.5)+(J18))</f>
        <v>0</v>
      </c>
      <c r="L18" s="85"/>
      <c r="M18" s="65" t="s">
        <v>35</v>
      </c>
      <c r="N18" s="110">
        <f>COUNTIF(N7:T7,"AC")+COUNTIF(N9:T9,"AC")+COUNTIF(N11:T11,"AC")+COUNTIF(N13:T13,"AC")+COUNTIF(N15:T15,"AC")+COUNTIF(N17:T17,"AC")</f>
        <v>0</v>
      </c>
      <c r="O18" s="111" t="s">
        <v>2</v>
      </c>
      <c r="P18" s="110">
        <f>COUNTIF(N7:T7,"T")+COUNTIF(N9:T9,"T")+COUNTIF(N11:T11,"T")+COUNTIF(N13:T13,"T")+COUNTIF(N15:T15,"T")+COUNTIF(N17:T17,"T")</f>
        <v>0</v>
      </c>
      <c r="Q18" s="111" t="s">
        <v>20</v>
      </c>
      <c r="R18" s="110">
        <f>COUNTIF(N7:T7,"MP")+COUNTIF(N9:T9,"MP")+COUNTIF(N11:T11,"MP")+COUNTIF(N13:T13,"MP")+COUNTIF(N15:T15,"MP")+COUNTIF(N17:T17,"MP")</f>
        <v>0</v>
      </c>
      <c r="S18" s="111" t="s">
        <v>22</v>
      </c>
      <c r="T18" s="110">
        <f>COUNTIF(N7:T7,"A")+COUNTIF(N9:T9,"A")+COUNTIF(N11:T11,"A")+COUNTIF(N13:T13,"A")+COUNTIF(N15:T15,"A")+COUNTIF(N17:T17,"A")</f>
        <v>0</v>
      </c>
      <c r="U18" s="54">
        <f>SUM((P18*0.5)+(R18*0.5)+(T18))</f>
        <v>0</v>
      </c>
      <c r="V18" s="85"/>
      <c r="W18" s="65" t="s">
        <v>35</v>
      </c>
      <c r="X18" s="110">
        <f>COUNTIF(X7:AD7,"AC")+COUNTIF(X9:AD9,"AC")+COUNTIF(X11:AD11,"AC")+COUNTIF(X13:AD13,"AC")+COUNTIF(X15:AD15,"AC")+COUNTIF(X17:AD17,"AC")</f>
        <v>0</v>
      </c>
      <c r="Y18" s="111" t="s">
        <v>2</v>
      </c>
      <c r="Z18" s="110">
        <f>COUNTIF(X7:AD7,"T")+COUNTIF(X9:AD9,"T")+COUNTIF(X11:AD11,"T")+COUNTIF(X13:AD13,"T")+COUNTIF(X15:AD15,"T")+COUNTIF(X17:AD17,"T")</f>
        <v>0</v>
      </c>
      <c r="AA18" s="111" t="s">
        <v>20</v>
      </c>
      <c r="AB18" s="110">
        <f>COUNTIF(X7:AD7,"MP")+COUNTIF(X9:AD9,"MP")+COUNTIF(X11:AD11,"MP")+COUNTIF(X13:AD13,"MP")+COUNTIF(X17:AD17,"MP")+COUNTIF(X15:AD15,"MP")</f>
        <v>0</v>
      </c>
      <c r="AC18" s="111" t="s">
        <v>22</v>
      </c>
      <c r="AD18" s="110">
        <f>COUNTIF(X7:AD7,"A")+COUNTIF(X9:AD9,"A")+COUNTIF(X11:AD11,"A")+COUNTIF(X13:AD13,"A")+COUNTIF(X15:AD15,"A")+COUNTIF(X17:AD17,"A")</f>
        <v>0</v>
      </c>
      <c r="AE18" s="54">
        <f>SUM((Z18*0.5)+(AB18*0.5)+(AD18))</f>
        <v>0</v>
      </c>
      <c r="AF18" s="85"/>
      <c r="AG18" s="65" t="s">
        <v>35</v>
      </c>
      <c r="AH18" s="110">
        <f>COUNTIF(AH7:AN7,"AC")+COUNTIF(AH9:AN9,"AC")+COUNTIF(AH11:AN11,"AC")+COUNTIF(AH13:AN13,"AC")+COUNTIF(AH15:AN15,"AC")+COUNTIF(AH17:AN17,"AC")</f>
        <v>0</v>
      </c>
      <c r="AI18" s="111" t="s">
        <v>2</v>
      </c>
      <c r="AJ18" s="110">
        <f>COUNTIF(AH7:AN7,"T")+COUNTIF(AH9:AN9,"T")+COUNTIF(AH11:AN11,"T")+COUNTIF(AH13:AN13,"T")+COUNTIF(AH15:AN15,"T")+COUNTIF(AH17:AN17,"T")</f>
        <v>0</v>
      </c>
      <c r="AK18" s="111" t="s">
        <v>20</v>
      </c>
      <c r="AL18" s="110">
        <f>COUNTIF(AH7:AN7,"MP")+COUNTIF(AH9:AN9,"MP")+COUNTIF(AH11:AN11,"MP")+COUNTIF(AH13:AN13,"MP")+COUNTIF(AH15:AN15,"MP")+COUNTIF(AH17:AN17,"MP")</f>
        <v>0</v>
      </c>
      <c r="AM18" s="111" t="s">
        <v>22</v>
      </c>
      <c r="AN18" s="110">
        <f>COUNTIF(AH7:AN7,"A")+COUNTIF(AH9:AN9,"A")+COUNTIF(AH11:AN11,"A")+COUNTIF(AH13:AN13,"A")+COUNTIF(AH15:AN15,"A")+COUNTIF(AH17:AN17,"A")</f>
        <v>0</v>
      </c>
      <c r="AO18" s="54">
        <f>SUM((AJ18*0.5)+(AL18*0.5)+(AN18))</f>
        <v>0</v>
      </c>
      <c r="AP18" s="11"/>
      <c r="AQ18" s="11"/>
      <c r="AR18" s="21" t="s">
        <v>19</v>
      </c>
      <c r="AS18" s="4">
        <v>9</v>
      </c>
      <c r="AT18" s="131" t="s">
        <v>28</v>
      </c>
      <c r="AU18" s="132"/>
      <c r="AZ18" s="6">
        <v>7</v>
      </c>
    </row>
    <row r="19" spans="1:52" s="3" customFormat="1" ht="15.95" customHeight="1" thickBot="1" thickTop="1">
      <c r="A19" s="6"/>
      <c r="B19" s="64"/>
      <c r="C19" s="66"/>
      <c r="D19" s="66"/>
      <c r="E19" s="66"/>
      <c r="F19" s="66"/>
      <c r="G19" s="66"/>
      <c r="H19" s="66"/>
      <c r="I19" s="66"/>
      <c r="J19" s="66"/>
      <c r="K19" s="39"/>
      <c r="L19" s="85"/>
      <c r="M19" s="66"/>
      <c r="N19" s="66"/>
      <c r="O19" s="66"/>
      <c r="P19" s="66"/>
      <c r="Q19" s="66"/>
      <c r="R19" s="66"/>
      <c r="S19" s="66"/>
      <c r="T19" s="66"/>
      <c r="U19" s="39"/>
      <c r="V19" s="85"/>
      <c r="W19" s="66"/>
      <c r="X19" s="66"/>
      <c r="Y19" s="66"/>
      <c r="Z19" s="66"/>
      <c r="AA19" s="66"/>
      <c r="AB19" s="66"/>
      <c r="AC19" s="66"/>
      <c r="AD19" s="66"/>
      <c r="AE19" s="39"/>
      <c r="AF19" s="85"/>
      <c r="AG19" s="66"/>
      <c r="AH19" s="66"/>
      <c r="AI19" s="66"/>
      <c r="AJ19" s="66"/>
      <c r="AK19" s="66"/>
      <c r="AL19" s="66"/>
      <c r="AM19" s="66"/>
      <c r="AN19" s="66"/>
      <c r="AO19" s="39"/>
      <c r="AQ19" s="6"/>
      <c r="AR19" s="13">
        <f>D18+J18+D33+J33+D52+J52+N18+T18+N35+T35+N52+T52+X52+AD52+X35+AD35+X18+AD18+AH18+AN18+AH35+AN35+AH52+AN52+AR23</f>
        <v>0</v>
      </c>
      <c r="AS19" s="14">
        <v>12</v>
      </c>
      <c r="AT19" s="121" t="s">
        <v>29</v>
      </c>
      <c r="AU19" s="122"/>
      <c r="AZ19" s="18">
        <v>7.5</v>
      </c>
    </row>
    <row r="20" spans="1:52" s="6" customFormat="1" ht="15.75" customHeight="1" thickTop="1">
      <c r="A20" s="3"/>
      <c r="B20" s="64"/>
      <c r="C20" s="67"/>
      <c r="D20" s="112"/>
      <c r="E20" s="112"/>
      <c r="F20" s="112"/>
      <c r="G20" s="112"/>
      <c r="H20" s="112"/>
      <c r="I20" s="112"/>
      <c r="J20" s="112"/>
      <c r="K20" s="47"/>
      <c r="L20" s="85"/>
      <c r="M20" s="67"/>
      <c r="N20" s="112"/>
      <c r="O20" s="112"/>
      <c r="P20" s="112"/>
      <c r="Q20" s="112"/>
      <c r="R20" s="112"/>
      <c r="S20" s="112"/>
      <c r="T20" s="112"/>
      <c r="U20" s="47"/>
      <c r="V20" s="85"/>
      <c r="W20" s="67"/>
      <c r="X20" s="112"/>
      <c r="Y20" s="112"/>
      <c r="Z20" s="112"/>
      <c r="AA20" s="112"/>
      <c r="AB20" s="112"/>
      <c r="AC20" s="112"/>
      <c r="AD20" s="112"/>
      <c r="AE20" s="47"/>
      <c r="AF20" s="85"/>
      <c r="AG20" s="67"/>
      <c r="AH20" s="112"/>
      <c r="AI20" s="112"/>
      <c r="AJ20" s="112"/>
      <c r="AK20" s="112"/>
      <c r="AL20" s="112"/>
      <c r="AM20" s="112"/>
      <c r="AN20" s="112"/>
      <c r="AO20" s="47"/>
      <c r="AP20" s="3"/>
      <c r="AQ20" s="3"/>
      <c r="AR20" s="19"/>
      <c r="AS20" s="4">
        <v>15</v>
      </c>
      <c r="AT20" s="123" t="s">
        <v>30</v>
      </c>
      <c r="AU20" s="124"/>
      <c r="AZ20" s="6">
        <v>8</v>
      </c>
    </row>
    <row r="21" spans="2:52" s="3" customFormat="1" ht="15.95" customHeight="1">
      <c r="B21" s="63"/>
      <c r="C21" s="62"/>
      <c r="D21" s="133" t="s">
        <v>6</v>
      </c>
      <c r="E21" s="134"/>
      <c r="F21" s="134"/>
      <c r="G21" s="134"/>
      <c r="H21" s="134"/>
      <c r="I21" s="134"/>
      <c r="J21" s="135"/>
      <c r="K21" s="86"/>
      <c r="L21" s="87"/>
      <c r="M21" s="62"/>
      <c r="N21" s="133" t="s">
        <v>9</v>
      </c>
      <c r="O21" s="134"/>
      <c r="P21" s="134"/>
      <c r="Q21" s="134"/>
      <c r="R21" s="134"/>
      <c r="S21" s="134"/>
      <c r="T21" s="135"/>
      <c r="U21" s="86"/>
      <c r="V21" s="87"/>
      <c r="W21" s="62"/>
      <c r="X21" s="133" t="s">
        <v>14</v>
      </c>
      <c r="Y21" s="134"/>
      <c r="Z21" s="134"/>
      <c r="AA21" s="134"/>
      <c r="AB21" s="134"/>
      <c r="AC21" s="134"/>
      <c r="AD21" s="135"/>
      <c r="AE21" s="86"/>
      <c r="AF21" s="87"/>
      <c r="AG21" s="62"/>
      <c r="AH21" s="133" t="s">
        <v>15</v>
      </c>
      <c r="AI21" s="134"/>
      <c r="AJ21" s="134"/>
      <c r="AK21" s="134"/>
      <c r="AL21" s="134"/>
      <c r="AM21" s="134"/>
      <c r="AN21" s="135"/>
      <c r="AO21" s="45"/>
      <c r="AP21" s="6"/>
      <c r="AR21" s="22" t="s">
        <v>51</v>
      </c>
      <c r="AS21" s="25"/>
      <c r="AT21" s="26"/>
      <c r="AU21" s="27"/>
      <c r="AZ21" s="6">
        <v>8.5</v>
      </c>
    </row>
    <row r="22" spans="2:52" s="6" customFormat="1" ht="15.95" customHeight="1">
      <c r="B22" s="63"/>
      <c r="C22" s="60"/>
      <c r="D22" s="107" t="s">
        <v>0</v>
      </c>
      <c r="E22" s="107" t="s">
        <v>1</v>
      </c>
      <c r="F22" s="107" t="s">
        <v>2</v>
      </c>
      <c r="G22" s="107" t="s">
        <v>3</v>
      </c>
      <c r="H22" s="107" t="s">
        <v>2</v>
      </c>
      <c r="I22" s="107" t="s">
        <v>4</v>
      </c>
      <c r="J22" s="107" t="s">
        <v>0</v>
      </c>
      <c r="K22" s="81"/>
      <c r="L22" s="82"/>
      <c r="M22" s="60"/>
      <c r="N22" s="107" t="s">
        <v>0</v>
      </c>
      <c r="O22" s="107" t="s">
        <v>1</v>
      </c>
      <c r="P22" s="107" t="s">
        <v>2</v>
      </c>
      <c r="Q22" s="107" t="s">
        <v>3</v>
      </c>
      <c r="R22" s="107" t="s">
        <v>2</v>
      </c>
      <c r="S22" s="107" t="s">
        <v>4</v>
      </c>
      <c r="T22" s="107" t="s">
        <v>0</v>
      </c>
      <c r="U22" s="81"/>
      <c r="V22" s="82"/>
      <c r="W22" s="60"/>
      <c r="X22" s="107" t="s">
        <v>0</v>
      </c>
      <c r="Y22" s="107" t="s">
        <v>1</v>
      </c>
      <c r="Z22" s="107" t="s">
        <v>2</v>
      </c>
      <c r="AA22" s="107" t="s">
        <v>3</v>
      </c>
      <c r="AB22" s="107" t="s">
        <v>2</v>
      </c>
      <c r="AC22" s="107" t="s">
        <v>4</v>
      </c>
      <c r="AD22" s="107" t="s">
        <v>0</v>
      </c>
      <c r="AE22" s="81"/>
      <c r="AF22" s="82"/>
      <c r="AG22" s="60"/>
      <c r="AH22" s="107" t="s">
        <v>0</v>
      </c>
      <c r="AI22" s="107" t="s">
        <v>1</v>
      </c>
      <c r="AJ22" s="107" t="s">
        <v>2</v>
      </c>
      <c r="AK22" s="107" t="s">
        <v>3</v>
      </c>
      <c r="AL22" s="107" t="s">
        <v>2</v>
      </c>
      <c r="AM22" s="107" t="s">
        <v>4</v>
      </c>
      <c r="AN22" s="107" t="s">
        <v>0</v>
      </c>
      <c r="AO22" s="44"/>
      <c r="AP22" s="3"/>
      <c r="AR22" s="23" t="s">
        <v>44</v>
      </c>
      <c r="AS22" s="28"/>
      <c r="AT22" s="29"/>
      <c r="AU22" s="30"/>
      <c r="AZ22" s="6">
        <v>9</v>
      </c>
    </row>
    <row r="23" spans="2:52" s="3" customFormat="1" ht="15.95" customHeight="1">
      <c r="B23" s="64"/>
      <c r="C23" s="60"/>
      <c r="D23" s="51" t="str">
        <f>IF(AND(YEAR(FebSun1)=$A$1,MONTH(FebSun1)=2),FebSun1,"")</f>
        <v/>
      </c>
      <c r="E23" s="51">
        <f>IF(AND(YEAR(FebSun1+1)=$A$1,MONTH(FebSun1+1)=2),FebSun1+1,"")</f>
        <v>42401</v>
      </c>
      <c r="F23" s="51">
        <f>IF(AND(YEAR(FebSun1+2)=$A$1,MONTH(FebSun1+2)=2),FebSun1+2,"")</f>
        <v>42402</v>
      </c>
      <c r="G23" s="51">
        <f>IF(AND(YEAR(FebSun1+3)=$A$1,MONTH(FebSun1+3)=2),FebSun1+3,"")</f>
        <v>42403</v>
      </c>
      <c r="H23" s="51">
        <f>IF(AND(YEAR(FebSun1+4)=$A$1,MONTH(FebSun1+4)=2),FebSun1+4,"")</f>
        <v>42404</v>
      </c>
      <c r="I23" s="51">
        <f>IF(AND(YEAR(FebSun1+5)=$A$1,MONTH(FebSun1+5)=2),FebSun1+5,"")</f>
        <v>42405</v>
      </c>
      <c r="J23" s="51">
        <f>IF(AND(YEAR(FebSun1+6)=$A$1,MONTH(FebSun1+6)=2),FebSun1+6,"")</f>
        <v>42406</v>
      </c>
      <c r="K23" s="49"/>
      <c r="L23" s="16"/>
      <c r="M23" s="60"/>
      <c r="N23" s="51">
        <f>IF(AND(YEAR(MaySun1)=$A$1,MONTH(MaySun1)=5),MaySun1,"")</f>
        <v>42491</v>
      </c>
      <c r="O23" s="51">
        <f>IF(AND(YEAR(MaySun1+1)=$A$1,MONTH(MaySun1+1)=5),MaySun1+1,"")</f>
        <v>42492</v>
      </c>
      <c r="P23" s="51">
        <f>IF(AND(YEAR(MaySun1+2)=$A$1,MONTH(MaySun1+2)=5),MaySun1+2,"")</f>
        <v>42493</v>
      </c>
      <c r="Q23" s="51">
        <f>IF(AND(YEAR(MaySun1+3)=$A$1,MONTH(MaySun1+3)=5),MaySun1+3,"")</f>
        <v>42494</v>
      </c>
      <c r="R23" s="51">
        <f>IF(AND(YEAR(MaySun1+4)=$A$1,MONTH(MaySun1+4)=5),MaySun1+4,"")</f>
        <v>42495</v>
      </c>
      <c r="S23" s="51">
        <f>IF(AND(YEAR(MaySun1+5)=$A$1,MONTH(MaySun1+5)=5),MaySun1+5,"")</f>
        <v>42496</v>
      </c>
      <c r="T23" s="51">
        <f>IF(AND(YEAR(MaySun1+6)=$A$1,MONTH(MaySun1+6)=5),MaySun1+6,"")</f>
        <v>42497</v>
      </c>
      <c r="U23" s="49"/>
      <c r="V23" s="16"/>
      <c r="W23" s="60"/>
      <c r="X23" s="51" t="str">
        <f>IF(AND(YEAR(AugSun1)=$A$1,MONTH(AugSun1)=8),AugSun1,"")</f>
        <v/>
      </c>
      <c r="Y23" s="51">
        <f>IF(AND(YEAR(AugSun1+1)=$A$1,MONTH(AugSun1+1)=8),AugSun1+1,"")</f>
        <v>42583</v>
      </c>
      <c r="Z23" s="51">
        <f>IF(AND(YEAR(AugSun1+2)=$A$1,MONTH(AugSun1+2)=8),AugSun1+2,"")</f>
        <v>42584</v>
      </c>
      <c r="AA23" s="51">
        <f>IF(AND(YEAR(AugSun1+3)=$A$1,MONTH(AugSun1+3)=8),AugSun1+3,"")</f>
        <v>42585</v>
      </c>
      <c r="AB23" s="51">
        <f>IF(AND(YEAR(AugSun1+4)=$A$1,MONTH(AugSun1+4)=8),AugSun1+4,"")</f>
        <v>42586</v>
      </c>
      <c r="AC23" s="51">
        <f>IF(AND(YEAR(AugSun1+5)=$A$1,MONTH(AugSun1+5)=8),AugSun1+5,"")</f>
        <v>42587</v>
      </c>
      <c r="AD23" s="51">
        <f>IF(AND(YEAR(AugSun1+6)=$A$1,MONTH(AugSun1+6)=8),AugSun1+6,"")</f>
        <v>42588</v>
      </c>
      <c r="AE23" s="49"/>
      <c r="AF23" s="16"/>
      <c r="AG23" s="60"/>
      <c r="AH23" s="51" t="str">
        <f>IF(AND(YEAR(NovSun1)=$A$1,MONTH(NovSun1)=11),NovSun1,"")</f>
        <v/>
      </c>
      <c r="AI23" s="51" t="str">
        <f>IF(AND(YEAR(NovSun1+1)=$A$1,MONTH(NovSun1+1)=11),NovSun1+1,"")</f>
        <v/>
      </c>
      <c r="AJ23" s="51">
        <f>IF(AND(YEAR(NovSun1+2)=$A$1,MONTH(NovSun1+2)=11),NovSun1+2,"")</f>
        <v>42675</v>
      </c>
      <c r="AK23" s="51">
        <f>IF(AND(YEAR(NovSun1+3)=$A$1,MONTH(NovSun1+3)=11),NovSun1+3,"")</f>
        <v>42676</v>
      </c>
      <c r="AL23" s="51">
        <f>IF(AND(YEAR(NovSun1+4)=$A$1,MONTH(NovSun1+4)=11),NovSun1+4,"")</f>
        <v>42677</v>
      </c>
      <c r="AM23" s="51">
        <f>IF(AND(YEAR(NovSun1+5)=$A$1,MONTH(NovSun1+5)=11),NovSun1+5,"")</f>
        <v>42678</v>
      </c>
      <c r="AN23" s="51">
        <f>IF(AND(YEAR(NovSun1+6)=$A$1,MONTH(NovSun1+6)=11),NovSun1+6,"")</f>
        <v>42679</v>
      </c>
      <c r="AO23" s="44"/>
      <c r="AP23" s="6"/>
      <c r="AR23" s="24">
        <f>A12</f>
        <v>0</v>
      </c>
      <c r="AS23" s="31"/>
      <c r="AT23" s="32"/>
      <c r="AU23" s="33"/>
      <c r="AZ23" s="6">
        <v>9.5</v>
      </c>
    </row>
    <row r="24" spans="2:52" s="6" customFormat="1" ht="15.95" customHeight="1">
      <c r="B24" s="63"/>
      <c r="C24" s="62"/>
      <c r="D24" s="52"/>
      <c r="E24" s="52"/>
      <c r="F24" s="52"/>
      <c r="G24" s="52"/>
      <c r="H24" s="52"/>
      <c r="I24" s="52"/>
      <c r="J24" s="52"/>
      <c r="K24" s="83"/>
      <c r="L24" s="84"/>
      <c r="M24" s="62"/>
      <c r="N24" s="52"/>
      <c r="O24" s="52"/>
      <c r="P24" s="52"/>
      <c r="Q24" s="52"/>
      <c r="R24" s="52"/>
      <c r="S24" s="52"/>
      <c r="T24" s="52"/>
      <c r="U24" s="83"/>
      <c r="V24" s="84"/>
      <c r="W24" s="62"/>
      <c r="X24" s="53"/>
      <c r="Y24" s="52"/>
      <c r="Z24" s="52"/>
      <c r="AA24" s="52"/>
      <c r="AB24" s="52"/>
      <c r="AC24" s="52"/>
      <c r="AD24" s="52"/>
      <c r="AE24" s="83"/>
      <c r="AF24" s="84"/>
      <c r="AG24" s="62"/>
      <c r="AH24" s="52"/>
      <c r="AI24" s="52"/>
      <c r="AJ24" s="52"/>
      <c r="AK24" s="52"/>
      <c r="AL24" s="52"/>
      <c r="AM24" s="52"/>
      <c r="AN24" s="52"/>
      <c r="AO24" s="45"/>
      <c r="AP24" s="3"/>
      <c r="AR24" s="3"/>
      <c r="AS24" s="3"/>
      <c r="AT24" s="3"/>
      <c r="AU24" s="3"/>
      <c r="AZ24" s="18">
        <v>10</v>
      </c>
    </row>
    <row r="25" spans="2:52" s="3" customFormat="1" ht="15.95" customHeight="1" thickBot="1">
      <c r="B25" s="64"/>
      <c r="C25" s="60"/>
      <c r="D25" s="51">
        <f>IF(AND(YEAR(FebSun1+7)=$A$1,MONTH(FebSun1+7)=2),FebSun1+7,"")</f>
        <v>42407</v>
      </c>
      <c r="E25" s="51">
        <f>IF(AND(YEAR(FebSun1+8)=$A$1,MONTH(FebSun1+8)=2),FebSun1+8,"")</f>
        <v>42408</v>
      </c>
      <c r="F25" s="51">
        <f>IF(AND(YEAR(FebSun1+9)=$A$1,MONTH(FebSun1+9)=2),FebSun1+9,"")</f>
        <v>42409</v>
      </c>
      <c r="G25" s="51">
        <f>IF(AND(YEAR(FebSun1+10)=$A$1,MONTH(FebSun1+10)=2),FebSun1+10,"")</f>
        <v>42410</v>
      </c>
      <c r="H25" s="51">
        <f>IF(AND(YEAR(FebSun1+11)=$A$1,MONTH(FebSun1+11)=2),FebSun1+11,"")</f>
        <v>42411</v>
      </c>
      <c r="I25" s="51">
        <f>IF(AND(YEAR(FebSun1+12)=$A$1,MONTH(FebSun1+12)=2),FebSun1+12,"")</f>
        <v>42412</v>
      </c>
      <c r="J25" s="51">
        <f>IF(AND(YEAR(FebSun1+13)=$A$1,MONTH(FebSun1+13)=2),FebSun1+13,"")</f>
        <v>42413</v>
      </c>
      <c r="K25" s="49"/>
      <c r="L25" s="16"/>
      <c r="M25" s="60"/>
      <c r="N25" s="51">
        <f>IF(AND(YEAR(MaySun1+7)=$A$1,MONTH(MaySun1+7)=5),MaySun1+7,"")</f>
        <v>42498</v>
      </c>
      <c r="O25" s="51">
        <f>IF(AND(YEAR(MaySun1+8)=$A$1,MONTH(MaySun1+8)=5),MaySun1+8,"")</f>
        <v>42499</v>
      </c>
      <c r="P25" s="51">
        <f>IF(AND(YEAR(MaySun1+9)=$A$1,MONTH(MaySun1+9)=5),MaySun1+9,"")</f>
        <v>42500</v>
      </c>
      <c r="Q25" s="51">
        <f>IF(AND(YEAR(MaySun1+10)=$A$1,MONTH(MaySun1+10)=5),MaySun1+10,"")</f>
        <v>42501</v>
      </c>
      <c r="R25" s="51">
        <f>IF(AND(YEAR(MaySun1+11)=$A$1,MONTH(MaySun1+11)=5),MaySun1+11,"")</f>
        <v>42502</v>
      </c>
      <c r="S25" s="51">
        <f>IF(AND(YEAR(MaySun1+12)=$A$1,MONTH(MaySun1+12)=5),MaySun1+12,"")</f>
        <v>42503</v>
      </c>
      <c r="T25" s="51">
        <f>IF(AND(YEAR(MaySun1+13)=$A$1,MONTH(MaySun1+13)=5),MaySun1+13,"")</f>
        <v>42504</v>
      </c>
      <c r="U25" s="49"/>
      <c r="V25" s="16"/>
      <c r="W25" s="60"/>
      <c r="X25" s="51">
        <f>IF(AND(YEAR(AugSun1+7)=$A$1,MONTH(AugSun1+7)=8),AugSun1+7,"")</f>
        <v>42589</v>
      </c>
      <c r="Y25" s="51">
        <f>IF(AND(YEAR(AugSun1+8)=$A$1,MONTH(AugSun1+8)=8),AugSun1+8,"")</f>
        <v>42590</v>
      </c>
      <c r="Z25" s="51">
        <f>IF(AND(YEAR(AugSun1+9)=$A$1,MONTH(AugSun1+9)=8),AugSun1+9,"")</f>
        <v>42591</v>
      </c>
      <c r="AA25" s="51">
        <f>IF(AND(YEAR(AugSun1+10)=$A$1,MONTH(AugSun1+10)=8),AugSun1+10,"")</f>
        <v>42592</v>
      </c>
      <c r="AB25" s="51">
        <f>IF(AND(YEAR(AugSun1+11)=$A$1,MONTH(AugSun1+11)=8),AugSun1+11,"")</f>
        <v>42593</v>
      </c>
      <c r="AC25" s="51">
        <f>IF(AND(YEAR(AugSun1+12)=$A$1,MONTH(AugSun1+12)=8),AugSun1+12,"")</f>
        <v>42594</v>
      </c>
      <c r="AD25" s="51">
        <f>IF(AND(YEAR(AugSun1+13)=$A$1,MONTH(AugSun1+13)=8),AugSun1+13,"")</f>
        <v>42595</v>
      </c>
      <c r="AE25" s="49"/>
      <c r="AF25" s="16"/>
      <c r="AG25" s="60"/>
      <c r="AH25" s="51">
        <f>IF(AND(YEAR(NovSun1+7)=$A$1,MONTH(NovSun1+7)=11),NovSun1+7,"")</f>
        <v>42680</v>
      </c>
      <c r="AI25" s="51">
        <f>IF(AND(YEAR(NovSun1+8)=$A$1,MONTH(NovSun1+8)=11),NovSun1+8,"")</f>
        <v>42681</v>
      </c>
      <c r="AJ25" s="51">
        <f>IF(AND(YEAR(NovSun1+9)=$A$1,MONTH(NovSun1+9)=11),NovSun1+9,"")</f>
        <v>42682</v>
      </c>
      <c r="AK25" s="51">
        <f>IF(AND(YEAR(NovSun1+10)=$A$1,MONTH(NovSun1+10)=11),NovSun1+10,"")</f>
        <v>42683</v>
      </c>
      <c r="AL25" s="51">
        <f>IF(AND(YEAR(NovSun1+11)=$A$1,MONTH(NovSun1+11)=11),NovSun1+11,"")</f>
        <v>42684</v>
      </c>
      <c r="AM25" s="51">
        <f>IF(AND(YEAR(NovSun1+12)=$A$1,MONTH(NovSun1+12)=11),NovSun1+12,"")</f>
        <v>42685</v>
      </c>
      <c r="AN25" s="51">
        <f>IF(AND(YEAR(NovSun1+13)=$A$1,MONTH(NovSun1+13)=11),NovSun1+13,"")</f>
        <v>42686</v>
      </c>
      <c r="AO25" s="44"/>
      <c r="AP25" s="6"/>
      <c r="AR25" s="50" t="s">
        <v>40</v>
      </c>
      <c r="AS25" s="4">
        <v>1</v>
      </c>
      <c r="AT25" s="125" t="s">
        <v>28</v>
      </c>
      <c r="AU25" s="126"/>
      <c r="AZ25" s="6">
        <v>10.5</v>
      </c>
    </row>
    <row r="26" spans="2:52" s="6" customFormat="1" ht="15.95" customHeight="1" thickBot="1">
      <c r="B26" s="63"/>
      <c r="C26" s="62"/>
      <c r="D26" s="52"/>
      <c r="E26" s="52"/>
      <c r="F26" s="52"/>
      <c r="G26" s="52"/>
      <c r="H26" s="52"/>
      <c r="I26" s="52"/>
      <c r="J26" s="52"/>
      <c r="K26" s="83"/>
      <c r="L26" s="84"/>
      <c r="M26" s="62"/>
      <c r="N26" s="52"/>
      <c r="O26" s="52"/>
      <c r="P26" s="52"/>
      <c r="Q26" s="52"/>
      <c r="R26" s="52"/>
      <c r="S26" s="52"/>
      <c r="T26" s="52"/>
      <c r="U26" s="83"/>
      <c r="V26" s="84"/>
      <c r="W26" s="62"/>
      <c r="X26" s="52"/>
      <c r="Y26" s="52"/>
      <c r="Z26" s="52"/>
      <c r="AA26" s="52"/>
      <c r="AB26" s="52"/>
      <c r="AC26" s="52"/>
      <c r="AD26" s="52"/>
      <c r="AE26" s="83"/>
      <c r="AF26" s="84"/>
      <c r="AG26" s="62"/>
      <c r="AH26" s="52"/>
      <c r="AI26" s="52"/>
      <c r="AJ26" s="52"/>
      <c r="AK26" s="52"/>
      <c r="AL26" s="52"/>
      <c r="AM26" s="52"/>
      <c r="AN26" s="52"/>
      <c r="AO26" s="45"/>
      <c r="AP26" s="3"/>
      <c r="AR26" s="15">
        <f>COUNTIF(D7:J7,"NC")+COUNTIF(D9:J9,"NC")+COUNTIF(D11:J11,"NC")+COUNTIF(D13:J13,"NC")+COUNTIF(D17:J17,"NC")+COUNTIF(D24:J24,"NC")+COUNTIF(D26:J26,"NC")+COUNTIF(D28:J28,"NC")+COUNTIF(D30:J30,"NC")+COUNTIF(D32:J32,"NC")+COUNTIF(D43:J43,"NC")+COUNTIF(D45:J45,"NC")+COUNTIF(D47:J47,"NC")+COUNTIF(D49:J49,"NC")+COUNTIF(D51:J51,"NC")+COUNTIF(N7:T7,"NC")+COUNTIF(N9:T9,"NC")+COUNTIF(N11:T11,"NC")+COUNTIF(N13:T13,"NC")+COUNTIF(N17:T17,"NC")+COUNTIF(N24:T24,"NC")+COUNTIF(N26:T26,"NC")+COUNTIF(N28:T28,"NC")+COUNTIF(N30:T30,"NC")+COUNTIF(N34:T34,"NC")+COUNTIF(N43:T43,"NC")+COUNTIF(N45:T45,"NC")+COUNTIF(N47:T47,"NC")+COUNTIF(N49:T49,"NC")+COUNTIF(N51:T51,"NC")+COUNTIF(X7:AD7,"NC")+COUNTIF(X9:AD9,"NC")+COUNTIF(X11:AD11,"NC")+COUNTIF(X13:AD13,"NC")+COUNTIF(X17:AD17,"NC")+COUNTIF(X24:AD24,"NC")+COUNTIF(X26:AD26,"NC")+COUNTIF(X28:AD28,"NC")+COUNTIF(X30:AD30,"NC")+COUNTIF(X34:AD34,"NC")+COUNTIF(X43:AD43,"NC")+COUNTIF(X45:AD45,"NC")+COUNTIF(X47:AD47,"NC")+COUNTIF(X49:AD49,"NC")+COUNTIF(X51:AD51,"NC")+COUNTIF(AH7:AN7,"NC")+COUNTIF(AH9:AN9,"NC")+COUNTIF(AH11:AN11,"NC")+COUNTIF(AH13:AN13,"NC")+COUNTIF(AH17:AN17,"NC")+COUNTIF(AH24:AN24,"NC")+COUNTIF(AH26:AN26,"NC")+COUNTIF(AH28:AN28,"NC")+COUNTIF(AH30:AN30,"NC")+COUNTIF(AH34:AN34,"NC")+COUNTIF(AH43:AN43,"NC")+COUNTIF(AH45:AN45,"NC")+COUNTIF(AH47:AN47,"NC")+COUNTIF(AH49:AN49,"NC")+COUNTIF(AH51:AN51,"NC")+COUNTIF(D41:J41,"NC")+COUNTIF(N41:T41,"NC")+COUNTIF(X41:AD41,"NC")+COUNTIF(AH41:AN41,"NC")</f>
        <v>0</v>
      </c>
      <c r="AS26" s="14">
        <v>2</v>
      </c>
      <c r="AT26" s="121" t="s">
        <v>29</v>
      </c>
      <c r="AU26" s="122"/>
      <c r="AZ26" s="6">
        <v>11</v>
      </c>
    </row>
    <row r="27" spans="2:52" s="3" customFormat="1" ht="15.95" customHeight="1">
      <c r="B27" s="64"/>
      <c r="C27" s="60"/>
      <c r="D27" s="51">
        <f>IF(AND(YEAR(FebSun1+14)=$A$1,MONTH(FebSun1+14)=2),FebSun1+14,"")</f>
        <v>42414</v>
      </c>
      <c r="E27" s="51">
        <f>IF(AND(YEAR(FebSun1+15)=$A$1,MONTH(FebSun1+15)=2),FebSun1+15,"")</f>
        <v>42415</v>
      </c>
      <c r="F27" s="51">
        <f>IF(AND(YEAR(FebSun1+16)=$A$1,MONTH(FebSun1+16)=2),FebSun1+16,"")</f>
        <v>42416</v>
      </c>
      <c r="G27" s="51">
        <f>IF(AND(YEAR(FebSun1+17)=$A$1,MONTH(FebSun1+17)=2),FebSun1+17,"")</f>
        <v>42417</v>
      </c>
      <c r="H27" s="51">
        <f>IF(AND(YEAR(FebSun1+18)=$A$1,MONTH(FebSun1+18)=2),FebSun1+18,"")</f>
        <v>42418</v>
      </c>
      <c r="I27" s="51">
        <f>IF(AND(YEAR(FebSun1+19)=$A$1,MONTH(FebSun1+19)=2),FebSun1+19,"")</f>
        <v>42419</v>
      </c>
      <c r="J27" s="51">
        <f>IF(AND(YEAR(FebSun1+20)=$A$1,MONTH(FebSun1+20)=2),FebSun1+20,"")</f>
        <v>42420</v>
      </c>
      <c r="K27" s="49"/>
      <c r="L27" s="16"/>
      <c r="M27" s="60"/>
      <c r="N27" s="51">
        <f>IF(AND(YEAR(MaySun1+14)=$A$1,MONTH(MaySun1+14)=5),MaySun1+14,"")</f>
        <v>42505</v>
      </c>
      <c r="O27" s="51">
        <f>IF(AND(YEAR(MaySun1+15)=$A$1,MONTH(MaySun1+15)=5),MaySun1+15,"")</f>
        <v>42506</v>
      </c>
      <c r="P27" s="51">
        <f>IF(AND(YEAR(MaySun1+16)=$A$1,MONTH(MaySun1+16)=5),MaySun1+16,"")</f>
        <v>42507</v>
      </c>
      <c r="Q27" s="51">
        <f>IF(AND(YEAR(MaySun1+17)=$A$1,MONTH(MaySun1+17)=5),MaySun1+17,"")</f>
        <v>42508</v>
      </c>
      <c r="R27" s="51">
        <f>IF(AND(YEAR(MaySun1+18)=$A$1,MONTH(MaySun1+18)=5),MaySun1+18,"")</f>
        <v>42509</v>
      </c>
      <c r="S27" s="51">
        <f>IF(AND(YEAR(MaySun1+19)=$A$1,MONTH(MaySun1+19)=5),MaySun1+19,"")</f>
        <v>42510</v>
      </c>
      <c r="T27" s="51">
        <f>IF(AND(YEAR(MaySun1+20)=$A$1,MONTH(MaySun1+20)=5),MaySun1+20,"")</f>
        <v>42511</v>
      </c>
      <c r="U27" s="49"/>
      <c r="V27" s="16"/>
      <c r="W27" s="60"/>
      <c r="X27" s="51">
        <f>IF(AND(YEAR(AugSun1+14)=$A$1,MONTH(AugSun1+14)=8),AugSun1+14,"")</f>
        <v>42596</v>
      </c>
      <c r="Y27" s="51">
        <f>IF(AND(YEAR(AugSun1+15)=$A$1,MONTH(AugSun1+15)=8),AugSun1+15,"")</f>
        <v>42597</v>
      </c>
      <c r="Z27" s="51">
        <f>IF(AND(YEAR(AugSun1+16)=$A$1,MONTH(AugSun1+16)=8),AugSun1+16,"")</f>
        <v>42598</v>
      </c>
      <c r="AA27" s="51">
        <f>IF(AND(YEAR(AugSun1+17)=$A$1,MONTH(AugSun1+17)=8),AugSun1+17,"")</f>
        <v>42599</v>
      </c>
      <c r="AB27" s="51">
        <f>IF(AND(YEAR(AugSun1+18)=$A$1,MONTH(AugSun1+18)=8),AugSun1+18,"")</f>
        <v>42600</v>
      </c>
      <c r="AC27" s="51">
        <f>IF(AND(YEAR(AugSun1+19)=$A$1,MONTH(AugSun1+19)=8),AugSun1+19,"")</f>
        <v>42601</v>
      </c>
      <c r="AD27" s="51">
        <f>IF(AND(YEAR(AugSun1+20)=$A$1,MONTH(AugSun1+20)=8),AugSun1+20,"")</f>
        <v>42602</v>
      </c>
      <c r="AE27" s="49"/>
      <c r="AF27" s="16"/>
      <c r="AG27" s="60"/>
      <c r="AH27" s="51">
        <f>IF(AND(YEAR(NovSun1+14)=$A$1,MONTH(NovSun1+14)=11),NovSun1+14,"")</f>
        <v>42687</v>
      </c>
      <c r="AI27" s="51">
        <f>IF(AND(YEAR(NovSun1+15)=$A$1,MONTH(NovSun1+15)=11),NovSun1+15,"")</f>
        <v>42688</v>
      </c>
      <c r="AJ27" s="51">
        <f>IF(AND(YEAR(NovSun1+16)=$A$1,MONTH(NovSun1+16)=11),NovSun1+16,"")</f>
        <v>42689</v>
      </c>
      <c r="AK27" s="51">
        <f>IF(AND(YEAR(NovSun1+17)=$A$1,MONTH(NovSun1+17)=11),NovSun1+17,"")</f>
        <v>42690</v>
      </c>
      <c r="AL27" s="51">
        <f>IF(AND(YEAR(NovSun1+18)=$A$1,MONTH(NovSun1+18)=11),NovSun1+18,"")</f>
        <v>42691</v>
      </c>
      <c r="AM27" s="51">
        <f>IF(AND(YEAR(NovSun1+19)=$A$1,MONTH(NovSun1+19)=11),NovSun1+19,"")</f>
        <v>42692</v>
      </c>
      <c r="AN27" s="51">
        <f>IF(AND(YEAR(NovSun1+20)=$A$1,MONTH(NovSun1+20)=11),NovSun1+20,"")</f>
        <v>42693</v>
      </c>
      <c r="AO27" s="44"/>
      <c r="AP27" s="6"/>
      <c r="AR27" s="34"/>
      <c r="AS27" s="4">
        <v>3</v>
      </c>
      <c r="AT27" s="123" t="s">
        <v>30</v>
      </c>
      <c r="AU27" s="124"/>
      <c r="AZ27" s="6">
        <v>11.5</v>
      </c>
    </row>
    <row r="28" spans="2:52" s="6" customFormat="1" ht="15.95" customHeight="1">
      <c r="B28" s="63"/>
      <c r="C28" s="62"/>
      <c r="D28" s="52"/>
      <c r="E28" s="52"/>
      <c r="F28" s="52"/>
      <c r="G28" s="52"/>
      <c r="H28" s="52"/>
      <c r="I28" s="52"/>
      <c r="J28" s="52"/>
      <c r="K28" s="83"/>
      <c r="L28" s="84"/>
      <c r="M28" s="62"/>
      <c r="N28" s="52"/>
      <c r="O28" s="52"/>
      <c r="P28" s="52"/>
      <c r="Q28" s="52"/>
      <c r="R28" s="52"/>
      <c r="S28" s="52"/>
      <c r="T28" s="52"/>
      <c r="U28" s="83"/>
      <c r="V28" s="84"/>
      <c r="W28" s="62"/>
      <c r="X28" s="52"/>
      <c r="Y28" s="52"/>
      <c r="Z28" s="52"/>
      <c r="AA28" s="52"/>
      <c r="AB28" s="52"/>
      <c r="AC28" s="52"/>
      <c r="AD28" s="52"/>
      <c r="AE28" s="83"/>
      <c r="AF28" s="84"/>
      <c r="AG28" s="62"/>
      <c r="AH28" s="52"/>
      <c r="AI28" s="52"/>
      <c r="AJ28" s="52"/>
      <c r="AK28" s="52"/>
      <c r="AL28" s="52"/>
      <c r="AM28" s="52"/>
      <c r="AN28" s="52"/>
      <c r="AO28" s="45"/>
      <c r="AR28" s="3"/>
      <c r="AS28" s="3"/>
      <c r="AT28" s="3"/>
      <c r="AU28" s="3"/>
      <c r="AZ28" s="6">
        <v>12</v>
      </c>
    </row>
    <row r="29" spans="2:52" s="6" customFormat="1" ht="15.95" customHeight="1">
      <c r="B29" s="64"/>
      <c r="C29" s="60"/>
      <c r="D29" s="51">
        <f>IF(AND(YEAR(FebSun1+21)=$A$1,MONTH(FebSun1+21)=2),FebSun1+21,"")</f>
        <v>42421</v>
      </c>
      <c r="E29" s="51">
        <f>IF(AND(YEAR(FebSun1+22)=$A$1,MONTH(FebSun1+22)=2),FebSun1+22,"")</f>
        <v>42422</v>
      </c>
      <c r="F29" s="51">
        <f>IF(AND(YEAR(FebSun1+23)=$A$1,MONTH(FebSun1+23)=2),FebSun1+23,"")</f>
        <v>42423</v>
      </c>
      <c r="G29" s="51">
        <f>IF(AND(YEAR(FebSun1+24)=$A$1,MONTH(FebSun1+24)=2),FebSun1+24,"")</f>
        <v>42424</v>
      </c>
      <c r="H29" s="51">
        <f>IF(AND(YEAR(FebSun1+25)=$A$1,MONTH(FebSun1+25)=2),FebSun1+25,"")</f>
        <v>42425</v>
      </c>
      <c r="I29" s="51">
        <f>IF(AND(YEAR(FebSun1+26)=$A$1,MONTH(FebSun1+26)=2),FebSun1+26,"")</f>
        <v>42426</v>
      </c>
      <c r="J29" s="51">
        <f>IF(AND(YEAR(FebSun1+27)=$A$1,MONTH(FebSun1+27)=2),FebSun1+27,"")</f>
        <v>42427</v>
      </c>
      <c r="K29" s="49"/>
      <c r="L29" s="16"/>
      <c r="M29" s="60"/>
      <c r="N29" s="51">
        <f>IF(AND(YEAR(MaySun1+21)=$A$1,MONTH(MaySun1+21)=5),MaySun1+21,"")</f>
        <v>42512</v>
      </c>
      <c r="O29" s="51">
        <f>IF(AND(YEAR(MaySun1+22)=$A$1,MONTH(MaySun1+22)=5),MaySun1+22,"")</f>
        <v>42513</v>
      </c>
      <c r="P29" s="51">
        <f>IF(AND(YEAR(MaySun1+23)=$A$1,MONTH(MaySun1+23)=5),MaySun1+23,"")</f>
        <v>42514</v>
      </c>
      <c r="Q29" s="51">
        <f>IF(AND(YEAR(MaySun1+24)=$A$1,MONTH(MaySun1+24)=5),MaySun1+24,"")</f>
        <v>42515</v>
      </c>
      <c r="R29" s="51">
        <f>IF(AND(YEAR(MaySun1+25)=$A$1,MONTH(MaySun1+25)=5),MaySun1+25,"")</f>
        <v>42516</v>
      </c>
      <c r="S29" s="51">
        <f>IF(AND(YEAR(MaySun1+26)=$A$1,MONTH(MaySun1+26)=5),MaySun1+26,"")</f>
        <v>42517</v>
      </c>
      <c r="T29" s="51">
        <f>IF(AND(YEAR(MaySun1+27)=$A$1,MONTH(MaySun1+27)=5),MaySun1+27,"")</f>
        <v>42518</v>
      </c>
      <c r="U29" s="49"/>
      <c r="V29" s="16"/>
      <c r="W29" s="60"/>
      <c r="X29" s="51">
        <f>IF(AND(YEAR(AugSun1+21)=$A$1,MONTH(AugSun1+21)=8),AugSun1+21,"")</f>
        <v>42603</v>
      </c>
      <c r="Y29" s="51">
        <f>IF(AND(YEAR(AugSun1+22)=$A$1,MONTH(AugSun1+22)=8),AugSun1+22,"")</f>
        <v>42604</v>
      </c>
      <c r="Z29" s="51">
        <f>IF(AND(YEAR(AugSun1+23)=$A$1,MONTH(AugSun1+23)=8),AugSun1+23,"")</f>
        <v>42605</v>
      </c>
      <c r="AA29" s="51">
        <f>IF(AND(YEAR(AugSun1+24)=$A$1,MONTH(AugSun1+24)=8),AugSun1+24,"")</f>
        <v>42606</v>
      </c>
      <c r="AB29" s="51">
        <f>IF(AND(YEAR(AugSun1+25)=$A$1,MONTH(AugSun1+25)=8),AugSun1+25,"")</f>
        <v>42607</v>
      </c>
      <c r="AC29" s="51">
        <f>IF(AND(YEAR(AugSun1+26)=$A$1,MONTH(AugSun1+26)=8),AugSun1+26,"")</f>
        <v>42608</v>
      </c>
      <c r="AD29" s="51">
        <f>IF(AND(YEAR(AugSun1+27)=$A$1,MONTH(AugSun1+27)=8),AugSun1+27,"")</f>
        <v>42609</v>
      </c>
      <c r="AE29" s="49"/>
      <c r="AF29" s="16"/>
      <c r="AG29" s="60"/>
      <c r="AH29" s="51">
        <f>IF(AND(YEAR(NovSun1+21)=$A$1,MONTH(NovSun1+21)=11),NovSun1+21,"")</f>
        <v>42694</v>
      </c>
      <c r="AI29" s="51">
        <f>IF(AND(YEAR(NovSun1+22)=$A$1,MONTH(NovSun1+22)=11),NovSun1+22,"")</f>
        <v>42695</v>
      </c>
      <c r="AJ29" s="51">
        <f>IF(AND(YEAR(NovSun1+23)=$A$1,MONTH(NovSun1+23)=11),NovSun1+23,"")</f>
        <v>42696</v>
      </c>
      <c r="AK29" s="51">
        <f>IF(AND(YEAR(NovSun1+24)=$A$1,MONTH(NovSun1+24)=11),NovSun1+24,"")</f>
        <v>42697</v>
      </c>
      <c r="AL29" s="51">
        <f>IF(AND(YEAR(NovSun1+25)=$A$1,MONTH(NovSun1+25)=11),NovSun1+25,"")</f>
        <v>42698</v>
      </c>
      <c r="AM29" s="51">
        <f>IF(AND(YEAR(NovSun1+26)=$A$1,MONTH(NovSun1+26)=11),NovSun1+26,"")</f>
        <v>42699</v>
      </c>
      <c r="AN29" s="51">
        <f>IF(AND(YEAR(NovSun1+27)=$A$1,MONTH(NovSun1+27)=11),NovSun1+27,"")</f>
        <v>42700</v>
      </c>
      <c r="AO29" s="44"/>
      <c r="AZ29" s="18">
        <v>12.5</v>
      </c>
    </row>
    <row r="30" spans="2:52" s="6" customFormat="1" ht="15.95" customHeight="1">
      <c r="B30" s="64"/>
      <c r="C30" s="62"/>
      <c r="D30" s="52"/>
      <c r="E30" s="52"/>
      <c r="F30" s="52"/>
      <c r="G30" s="52"/>
      <c r="H30" s="52"/>
      <c r="I30" s="52"/>
      <c r="J30" s="52"/>
      <c r="K30" s="83"/>
      <c r="L30" s="84"/>
      <c r="M30" s="62"/>
      <c r="N30" s="52"/>
      <c r="O30" s="52"/>
      <c r="P30" s="52"/>
      <c r="Q30" s="52"/>
      <c r="R30" s="52"/>
      <c r="S30" s="52"/>
      <c r="T30" s="52"/>
      <c r="U30" s="83"/>
      <c r="V30" s="84"/>
      <c r="W30" s="62"/>
      <c r="X30" s="52"/>
      <c r="Y30" s="52"/>
      <c r="Z30" s="52"/>
      <c r="AA30" s="52"/>
      <c r="AB30" s="52"/>
      <c r="AC30" s="52"/>
      <c r="AD30" s="52"/>
      <c r="AE30" s="83"/>
      <c r="AF30" s="84"/>
      <c r="AG30" s="62"/>
      <c r="AH30" s="52"/>
      <c r="AI30" s="52"/>
      <c r="AJ30" s="52"/>
      <c r="AK30" s="52"/>
      <c r="AL30" s="52"/>
      <c r="AM30" s="52"/>
      <c r="AN30" s="52"/>
      <c r="AO30" s="45"/>
      <c r="AP30" s="3"/>
      <c r="AR30" s="3"/>
      <c r="AS30" s="3"/>
      <c r="AT30" s="3"/>
      <c r="AU30" s="3"/>
      <c r="AZ30" s="6">
        <v>13</v>
      </c>
    </row>
    <row r="31" spans="2:52" s="3" customFormat="1" ht="15.95" customHeight="1">
      <c r="B31" s="64"/>
      <c r="C31" s="62"/>
      <c r="D31" s="51">
        <f>IF(AND(YEAR(FebSun1+28)=$A$1,MONTH(FebSun1+28)=2),FebSun1+28,"")</f>
        <v>42428</v>
      </c>
      <c r="E31" s="51">
        <f>IF(AND(YEAR(FebSun1+29)=$A$1,MONTH(FebSun1+29)=2),FebSun1+29,"")</f>
        <v>42429</v>
      </c>
      <c r="F31" s="51" t="str">
        <f>IF(AND(YEAR(FebSun1+30)=$A$1,MONTH(FebSun1+30)=2),FebSun1+30,"")</f>
        <v/>
      </c>
      <c r="G31" s="51" t="str">
        <f>IF(AND(YEAR(FebSun1+31)=$A$1,MONTH(FebSun1+31)=2),FebSun1+31,"")</f>
        <v/>
      </c>
      <c r="H31" s="51" t="str">
        <f>IF(AND(YEAR(FebSun1+32)=$A$1,MONTH(FebSun1+32)=2),FebSun1+32,"")</f>
        <v/>
      </c>
      <c r="I31" s="51" t="str">
        <f>IF(AND(YEAR(FebSun1+33)=$A$1,MONTH(FebSun1+33)=2),FebSun1+33,"")</f>
        <v/>
      </c>
      <c r="J31" s="51" t="str">
        <f>IF(AND(YEAR(FebSun1+34)=$A$1,MONTH(FebSun1+34)=2),FebSun1+34,"")</f>
        <v/>
      </c>
      <c r="K31" s="49"/>
      <c r="L31" s="84"/>
      <c r="M31" s="62"/>
      <c r="N31" s="51">
        <f>IF(AND(YEAR(MaySun1+28)=$A$1,MONTH(MaySun1+28)=5),MaySun1+28,"")</f>
        <v>42519</v>
      </c>
      <c r="O31" s="51">
        <f>IF(AND(YEAR(MaySun1+29)=$A$1,MONTH(MaySun1+29)=5),MaySun1+29,"")</f>
        <v>42520</v>
      </c>
      <c r="P31" s="51">
        <f>IF(AND(YEAR(MaySun1+30)=$A$1,MONTH(MaySun1+30)=5),MaySun1+30,"")</f>
        <v>42521</v>
      </c>
      <c r="Q31" s="51" t="str">
        <f>IF(AND(YEAR(MaySun1+31)=$A$1,MONTH(MaySun1+31)=5),MaySun1+31,"")</f>
        <v/>
      </c>
      <c r="R31" s="51" t="str">
        <f>IF(AND(YEAR(MaySun1+32)=$A$1,MONTH(MaySun1+32)=5),MaySun1+32,"")</f>
        <v/>
      </c>
      <c r="S31" s="51" t="str">
        <f>IF(AND(YEAR(MaySun1+33)=$A$1,MONTH(MaySun1+33)=5),MaySun1+33,"")</f>
        <v/>
      </c>
      <c r="T31" s="51" t="str">
        <f>IF(AND(YEAR(MaySun1+34)=$A$1,MONTH(MaySun1+34)=5),MaySun1+34,"")</f>
        <v/>
      </c>
      <c r="U31" s="83"/>
      <c r="V31" s="84"/>
      <c r="W31" s="62"/>
      <c r="X31" s="51">
        <f>IF(AND(YEAR(AugSun1+28)=$A$1,MONTH(AugSun1+28)=8),AugSun1+28,"")</f>
        <v>42610</v>
      </c>
      <c r="Y31" s="51">
        <f>IF(AND(YEAR(AugSun1+29)=$A$1,MONTH(AugSun1+29)=8),AugSun1+29,"")</f>
        <v>42611</v>
      </c>
      <c r="Z31" s="51">
        <f>IF(AND(YEAR(AugSun1+30)=$A$1,MONTH(AugSun1+30)=8),AugSun1+30,"")</f>
        <v>42612</v>
      </c>
      <c r="AA31" s="51">
        <f>IF(AND(YEAR(AugSun1+31)=$A$1,MONTH(AugSun1+31)=8),AugSun1+31,"")</f>
        <v>42613</v>
      </c>
      <c r="AB31" s="51" t="str">
        <f>IF(AND(YEAR(AugSun1+32)=$A$1,MONTH(AugSun1+32)=8),AugSun1+32,"")</f>
        <v/>
      </c>
      <c r="AC31" s="51" t="str">
        <f>IF(AND(YEAR(AugSun1+33)=$A$1,MONTH(AugSun1+33)=8),AugSun1+33,"")</f>
        <v/>
      </c>
      <c r="AD31" s="51" t="str">
        <f>IF(AND(YEAR(AugSun1+34)=$A$1,MONTH(AugSun1+34)=8),AugSun1+34,"")</f>
        <v/>
      </c>
      <c r="AE31" s="83"/>
      <c r="AF31" s="84"/>
      <c r="AG31" s="62"/>
      <c r="AH31" s="51">
        <f>IF(AND(YEAR(NovSun1+28)=$A$1,MONTH(NovSun1+28)=11),NovSun1+28,"")</f>
        <v>42701</v>
      </c>
      <c r="AI31" s="51">
        <f>IF(AND(YEAR(NovSun1+29)=$A$1,MONTH(NovSun1+29)=11),NovSun1+29,"")</f>
        <v>42702</v>
      </c>
      <c r="AJ31" s="51">
        <f>IF(AND(YEAR(NovSun1+30)=$A$1,MONTH(NovSun1+30)=11),NovSun1+30,"")</f>
        <v>42703</v>
      </c>
      <c r="AK31" s="51">
        <f>IF(AND(YEAR(NovSun1+31)=$A$1,MONTH(NovSun1+31)=11),NovSun1+31,"")</f>
        <v>42704</v>
      </c>
      <c r="AL31" s="51" t="str">
        <f>IF(AND(YEAR(NovSun1+32)=$A$1,MONTH(NovSun1+32)=11),NovSun1+32,"")</f>
        <v/>
      </c>
      <c r="AM31" s="51" t="str">
        <f>IF(AND(YEAR(NovSun1+33)=$A$1,MONTH(NovSun1+33)=11),NovSun1+33,"")</f>
        <v/>
      </c>
      <c r="AN31" s="51" t="str">
        <f>IF(AND(YEAR(NovSun1+34)=$A$1,MONTH(NovSun1+34)=11),NovSun1+34,"")</f>
        <v/>
      </c>
      <c r="AO31" s="45"/>
      <c r="AP31" s="16"/>
      <c r="AR31" s="6"/>
      <c r="AS31" s="6"/>
      <c r="AT31" s="6"/>
      <c r="AU31" s="6"/>
      <c r="AZ31" s="6">
        <v>13.5</v>
      </c>
    </row>
    <row r="32" spans="1:52" s="3" customFormat="1" ht="15.95" customHeight="1">
      <c r="A32" s="6"/>
      <c r="B32" s="63"/>
      <c r="C32" s="62"/>
      <c r="D32" s="52"/>
      <c r="E32" s="52"/>
      <c r="F32" s="53"/>
      <c r="G32" s="53"/>
      <c r="H32" s="53"/>
      <c r="I32" s="53"/>
      <c r="J32" s="53"/>
      <c r="K32" s="55" t="s">
        <v>21</v>
      </c>
      <c r="L32" s="84"/>
      <c r="M32" s="62"/>
      <c r="N32" s="52"/>
      <c r="O32" s="52"/>
      <c r="P32" s="52"/>
      <c r="Q32" s="52"/>
      <c r="R32" s="52"/>
      <c r="S32" s="52"/>
      <c r="T32" s="52"/>
      <c r="U32" s="83"/>
      <c r="V32" s="84"/>
      <c r="W32" s="62"/>
      <c r="X32" s="52"/>
      <c r="Y32" s="52"/>
      <c r="Z32" s="52"/>
      <c r="AA32" s="52"/>
      <c r="AB32" s="52"/>
      <c r="AC32" s="52"/>
      <c r="AD32" s="52"/>
      <c r="AE32" s="83"/>
      <c r="AF32" s="84"/>
      <c r="AG32" s="62"/>
      <c r="AH32" s="52"/>
      <c r="AI32" s="52"/>
      <c r="AJ32" s="52"/>
      <c r="AK32" s="52"/>
      <c r="AL32" s="53"/>
      <c r="AM32" s="53"/>
      <c r="AN32" s="53"/>
      <c r="AO32" s="45"/>
      <c r="AP32" s="40"/>
      <c r="AQ32" s="16"/>
      <c r="AR32" s="12"/>
      <c r="AS32" s="6"/>
      <c r="AT32" s="6"/>
      <c r="AU32" s="6"/>
      <c r="AZ32" s="6">
        <v>14</v>
      </c>
    </row>
    <row r="33" spans="2:52" s="41" customFormat="1" ht="15.95" customHeight="1" thickBot="1">
      <c r="B33" s="64"/>
      <c r="C33" s="65" t="s">
        <v>35</v>
      </c>
      <c r="D33" s="110">
        <f>COUNTIF(D24:J24,"AC")+COUNTIF(D26:J26,"AC")+COUNTIF(D28:J28,"AC")+COUNTIF(D30:J30,"AC")+COUNTIF(D32:J32,"AC")</f>
        <v>0</v>
      </c>
      <c r="E33" s="111" t="s">
        <v>2</v>
      </c>
      <c r="F33" s="110">
        <f>COUNTIF(D24:J24,"T")+COUNTIF(D26:J26,"T")+COUNTIF(D28:J28,"T")+COUNTIF(D30:J30,"T")+COUNTIF(D32:J32,"T")</f>
        <v>0</v>
      </c>
      <c r="G33" s="111" t="s">
        <v>20</v>
      </c>
      <c r="H33" s="110">
        <f>COUNTIF(D24:J24,"MP")+COUNTIF(D26:J26,"MP")+COUNTIF(D28:J28,"MP")+COUNTIF(D30:J30,"MP")+COUNTIF(D32:J32,"MP")</f>
        <v>0</v>
      </c>
      <c r="I33" s="111" t="s">
        <v>22</v>
      </c>
      <c r="J33" s="110">
        <f>COUNTIF(D24:J24,"A")+COUNTIF(D26:J26,"A")+COUNTIF(D28:J28,"A")+COUNTIF(D30:J30,"A")+COUNTIF(D32:J32,"A")</f>
        <v>0</v>
      </c>
      <c r="K33" s="54">
        <f>SUM((F33*0.5)+(H33*0.5)+(J33))</f>
        <v>0</v>
      </c>
      <c r="L33" s="16"/>
      <c r="M33" s="60"/>
      <c r="N33" s="51" t="str">
        <f>IF(AND(YEAR(MaySun1+35)=$A$1,MONTH(MaySun1+35)=5),MaySun1+35,"")</f>
        <v/>
      </c>
      <c r="O33" s="51" t="str">
        <f>IF(AND(YEAR(MaySun1+36)=$A$1,MONTH(MaySun1+36)=5),MaySun1+36,"")</f>
        <v/>
      </c>
      <c r="P33" s="51" t="str">
        <f>IF(AND(YEAR(MaySun1+37)=$A$1,MONTH(MaySun1+37)=5),MaySun1+37,"")</f>
        <v/>
      </c>
      <c r="Q33" s="51" t="str">
        <f>IF(AND(YEAR(MaySun1+38)=$A$1,MONTH(MaySun1+38)=5),MaySun1+38,"")</f>
        <v/>
      </c>
      <c r="R33" s="51" t="str">
        <f>IF(AND(YEAR(MaySun1+39)=$A$1,MONTH(MaySun1+39)=5),MaySun1+39,"")</f>
        <v/>
      </c>
      <c r="S33" s="51" t="str">
        <f>IF(AND(YEAR(MaySun1+40)=$A$1,MONTH(MaySun1+40)=5),MaySun1+40,"")</f>
        <v/>
      </c>
      <c r="T33" s="51" t="str">
        <f>IF(AND(YEAR(MaySun1+41)=$A$1,MONTH(MaySun1+41)=5),MaySun1+41,"")</f>
        <v/>
      </c>
      <c r="U33" s="49"/>
      <c r="V33" s="16"/>
      <c r="W33" s="60"/>
      <c r="X33" s="51" t="str">
        <f>IF(AND(YEAR(AugSun1+35)=$A$1,MONTH(AugSun1+35)=8),AugSun1+35,"")</f>
        <v/>
      </c>
      <c r="Y33" s="51" t="str">
        <f>IF(AND(YEAR(AugSun1+36)=$A$1,MONTH(AugSun1+36)=8),AugSun1+36,"")</f>
        <v/>
      </c>
      <c r="Z33" s="51" t="str">
        <f>IF(AND(YEAR(AugSun1+37)=$A$1,MONTH(AugSun1+37)=8),AugSun1+37,"")</f>
        <v/>
      </c>
      <c r="AA33" s="51" t="str">
        <f>IF(AND(YEAR(AugSun1+38)=$A$1,MONTH(AugSun1+38)=8),AugSun1+38,"")</f>
        <v/>
      </c>
      <c r="AB33" s="51" t="str">
        <f>IF(AND(YEAR(AugSun1+39)=$A$1,MONTH(AugSun1+39)=8),AugSun1+39,"")</f>
        <v/>
      </c>
      <c r="AC33" s="51" t="str">
        <f>IF(AND(YEAR(AugSun1+40)=$A$1,MONTH(AugSun1+40)=8),AugSun1+40,"")</f>
        <v/>
      </c>
      <c r="AD33" s="51" t="str">
        <f>IF(AND(YEAR(AugSun1+41)=$A$1,MONTH(AugSun1+41)=8),AugSun1+41,"")</f>
        <v/>
      </c>
      <c r="AE33" s="49"/>
      <c r="AF33" s="16"/>
      <c r="AG33" s="60"/>
      <c r="AH33" s="51" t="str">
        <f>IF(AND(YEAR(NovSun1+35)=$A$1,MONTH(NovSun1+35)=11),NovSun1+35,"")</f>
        <v/>
      </c>
      <c r="AI33" s="51" t="str">
        <f>IF(AND(YEAR(NovSun1+36)=$A$1,MONTH(NovSun1+36)=11),NovSun1+36,"")</f>
        <v/>
      </c>
      <c r="AJ33" s="51" t="str">
        <f>IF(AND(YEAR(NovSun1+37)=$A$1,MONTH(NovSun1+37)=11),NovSun1+37,"")</f>
        <v/>
      </c>
      <c r="AK33" s="51" t="str">
        <f>IF(AND(YEAR(NovSun1+38)=$A$1,MONTH(NovSun1+38)=11),NovSun1+38,"")</f>
        <v/>
      </c>
      <c r="AL33" s="51" t="str">
        <f>IF(AND(YEAR(NovSun1+39)=$A$1,MONTH(NovSun1+39)=11),NovSun1+39,"")</f>
        <v/>
      </c>
      <c r="AM33" s="51" t="str">
        <f>IF(AND(YEAR(NovSun1+40)=$A$1,MONTH(NovSun1+40)=11),NovSun1+40,"")</f>
        <v/>
      </c>
      <c r="AN33" s="51" t="str">
        <f>IF(AND(YEAR(NovSun1+41)=$A$1,MONTH(NovSun1+41)=11),NovSun1+41,"")</f>
        <v/>
      </c>
      <c r="AO33" s="44"/>
      <c r="AP33" s="6"/>
      <c r="AQ33" s="40"/>
      <c r="AZ33" s="41">
        <v>14.5</v>
      </c>
    </row>
    <row r="34" spans="1:52" s="3" customFormat="1" ht="15.95" customHeight="1" thickTop="1">
      <c r="A34" s="6"/>
      <c r="B34" s="68"/>
      <c r="C34" s="69"/>
      <c r="D34" s="113"/>
      <c r="E34" s="113"/>
      <c r="F34" s="113"/>
      <c r="G34" s="113"/>
      <c r="H34" s="113"/>
      <c r="I34" s="113"/>
      <c r="J34" s="113"/>
      <c r="K34" s="40"/>
      <c r="L34" s="16"/>
      <c r="M34" s="62"/>
      <c r="N34" s="52"/>
      <c r="O34" s="53"/>
      <c r="P34" s="53"/>
      <c r="Q34" s="53"/>
      <c r="R34" s="53"/>
      <c r="S34" s="53"/>
      <c r="T34" s="53"/>
      <c r="U34" s="55" t="s">
        <v>21</v>
      </c>
      <c r="V34" s="16"/>
      <c r="W34" s="62"/>
      <c r="X34" s="52"/>
      <c r="Y34" s="52"/>
      <c r="Z34" s="53"/>
      <c r="AA34" s="53"/>
      <c r="AB34" s="53"/>
      <c r="AC34" s="53"/>
      <c r="AD34" s="53"/>
      <c r="AE34" s="55" t="s">
        <v>21</v>
      </c>
      <c r="AF34" s="16"/>
      <c r="AG34" s="62"/>
      <c r="AH34" s="53"/>
      <c r="AI34" s="53"/>
      <c r="AJ34" s="53"/>
      <c r="AK34" s="53"/>
      <c r="AL34" s="53"/>
      <c r="AM34" s="53"/>
      <c r="AN34" s="53"/>
      <c r="AO34" s="55" t="s">
        <v>21</v>
      </c>
      <c r="AQ34" s="6"/>
      <c r="AZ34" s="18">
        <v>15</v>
      </c>
    </row>
    <row r="35" spans="1:47" s="6" customFormat="1" ht="15.95" customHeight="1" thickBot="1">
      <c r="A35" s="3"/>
      <c r="B35" s="64"/>
      <c r="C35" s="70"/>
      <c r="D35" s="70"/>
      <c r="E35" s="70"/>
      <c r="F35" s="70"/>
      <c r="G35" s="70"/>
      <c r="H35" s="70"/>
      <c r="I35" s="70"/>
      <c r="J35" s="70"/>
      <c r="K35" s="40"/>
      <c r="L35" s="85"/>
      <c r="M35" s="65" t="s">
        <v>35</v>
      </c>
      <c r="N35" s="114">
        <f>COUNTIF(N24:T24,"AC")+COUNTIF(N26:T26,"AC")+COUNTIF(N28:T28,"AC")+COUNTIF(N30:T30,"AC")+COUNTIF(N32:T32,"AC")+COUNTIF(N34:T34,"AC")</f>
        <v>0</v>
      </c>
      <c r="O35" s="115" t="s">
        <v>2</v>
      </c>
      <c r="P35" s="114">
        <f>COUNTIF(N24:T24,"T")+COUNTIF(N26:T26,"T")+COUNTIF(N28:T28,"T")+COUNTIF(N30:T30,"T")+COUNTIF(N32:T32,"T")+COUNTIF(N34:T34,"T")</f>
        <v>0</v>
      </c>
      <c r="Q35" s="115" t="s">
        <v>20</v>
      </c>
      <c r="R35" s="114">
        <f>COUNTIF(N24:T24,"MP")+COUNTIF(N26:T26,"MP")+COUNTIF(N28:T28,"MP")+COUNTIF(N30:T30,"MP")+COUNTIF(N32:T32,"MP")+COUNTIF(N34:T34,"MP")</f>
        <v>0</v>
      </c>
      <c r="S35" s="115" t="s">
        <v>22</v>
      </c>
      <c r="T35" s="114">
        <f>COUNTIF(N24:T24,"A")+COUNTIF(N26:T26,"A")+COUNTIF(N28:T28,"A")+COUNTIF(N30:T30,"A")+COUNTIF(N32:T32,"A")+COUNTIF(N34:T34,"A")</f>
        <v>0</v>
      </c>
      <c r="U35" s="54">
        <f>SUM((P35*0.5)+(R35*0.5)+(T35))</f>
        <v>0</v>
      </c>
      <c r="V35" s="85"/>
      <c r="W35" s="65" t="s">
        <v>35</v>
      </c>
      <c r="X35" s="114">
        <f>COUNTIF(X24:AD24,"AC")+COUNTIF(X26:AD26,"AC")+COUNTIF(X28:AD28,"AC")+COUNTIF(X30:AD30,"AC")+COUNTIF(X32:AD32,"AC")+COUNTIF(X34:AD34,"AC")</f>
        <v>0</v>
      </c>
      <c r="Y35" s="115" t="s">
        <v>2</v>
      </c>
      <c r="Z35" s="114">
        <f>COUNTIF(X24:AD24,"T")+COUNTIF(X26:AD26,"T")+COUNTIF(X28:AD28,"T")+COUNTIF(X30:AD30,"T")+COUNTIF(X32:AD32,"T")+COUNTIF(X34:AD34,"T")</f>
        <v>0</v>
      </c>
      <c r="AA35" s="115" t="s">
        <v>20</v>
      </c>
      <c r="AB35" s="114">
        <f>COUNTIF(X24:AD24,"MP")+COUNTIF(X26:AD26,"MP")+COUNTIF(X28:AD28,"MP")+COUNTIF(X30:AD30,"MP")+COUNTIF(X32:AD32,"MP")+COUNTIF(X34:AD34,"MP")</f>
        <v>0</v>
      </c>
      <c r="AC35" s="115" t="s">
        <v>22</v>
      </c>
      <c r="AD35" s="114">
        <f>COUNTIF(X24:AD24,"A")+COUNTIF(X26:AD26,"A")+COUNTIF(X28:AD28,"A")+COUNTIF(X30:AD30,"A")+COUNTIF(X32:AD32,"A")+COUNTIF(X34:AD34,"A")</f>
        <v>0</v>
      </c>
      <c r="AE35" s="54">
        <f>SUM((Z35*0.5)+(AB35*0.5)+(AD35))</f>
        <v>0</v>
      </c>
      <c r="AF35" s="85"/>
      <c r="AG35" s="65" t="s">
        <v>35</v>
      </c>
      <c r="AH35" s="114">
        <f>COUNTIF(AH24:AN24,"AC")+COUNTIF(AH26:AN26,"AC")+COUNTIF(AH28:AN28,"AC")+COUNTIF(AH30:AN30,"AC")+COUNTIF(AH32:AN32,"AC")+COUNTIF(AH34:AN34,"AC")</f>
        <v>0</v>
      </c>
      <c r="AI35" s="115" t="s">
        <v>2</v>
      </c>
      <c r="AJ35" s="114">
        <f>COUNTIF(AH24:AN24,"T")+COUNTIF(AH26:AN26,"T")+COUNTIF(AH28:AN28,"T")+COUNTIF(AH30:AN30,"T")+COUNTIF(AH32:AN32,"T")+COUNTIF(AH34:AN34,"T")</f>
        <v>0</v>
      </c>
      <c r="AK35" s="115" t="s">
        <v>20</v>
      </c>
      <c r="AL35" s="114">
        <f>COUNTIF(AH24:AN24,"MP")+COUNTIF(AH26:AN26,"MP")+COUNTIF(AH28:AN28,"MP")+COUNTIF(AH30:AN30,"MP")+COUNTIF(AH32:AN32,"MP")+COUNTIF(AH34:AN34,"MP")</f>
        <v>0</v>
      </c>
      <c r="AM35" s="115" t="s">
        <v>22</v>
      </c>
      <c r="AN35" s="114">
        <f>COUNTIF(AH24:AN24,"A")+COUNTIF(AH26:AN26,"A")+COUNTIF(AH28:AN28,"A")+COUNTIF(AH30:AN30,"A")+COUNTIF(AH32:AN32,"A")+COUNTIF(AH34:AN34,"A")</f>
        <v>0</v>
      </c>
      <c r="AO35" s="54">
        <f>SUM((AJ35*0.5)+(AL35*0.5)+(AN35))</f>
        <v>0</v>
      </c>
      <c r="AP35" s="3"/>
      <c r="AQ35" s="3"/>
      <c r="AR35" s="3"/>
      <c r="AS35" s="3"/>
      <c r="AT35" s="3"/>
      <c r="AU35" s="3"/>
    </row>
    <row r="36" spans="2:47" s="3" customFormat="1" ht="15.95" customHeight="1" thickBot="1" thickTop="1">
      <c r="B36" s="63"/>
      <c r="C36" s="70"/>
      <c r="D36" s="70"/>
      <c r="E36" s="70"/>
      <c r="F36" s="70"/>
      <c r="G36" s="70"/>
      <c r="H36" s="70"/>
      <c r="I36" s="70"/>
      <c r="J36" s="70"/>
      <c r="K36" s="40"/>
      <c r="L36" s="85"/>
      <c r="M36" s="66"/>
      <c r="N36" s="66"/>
      <c r="O36" s="66"/>
      <c r="P36" s="66"/>
      <c r="Q36" s="66"/>
      <c r="R36" s="66"/>
      <c r="S36" s="66"/>
      <c r="T36" s="66"/>
      <c r="U36" s="40"/>
      <c r="V36" s="85"/>
      <c r="W36" s="66"/>
      <c r="X36" s="66"/>
      <c r="Y36" s="66"/>
      <c r="Z36" s="66"/>
      <c r="AA36" s="66"/>
      <c r="AB36" s="66"/>
      <c r="AC36" s="66"/>
      <c r="AD36" s="66"/>
      <c r="AE36" s="40"/>
      <c r="AF36" s="85"/>
      <c r="AG36" s="66"/>
      <c r="AH36" s="66"/>
      <c r="AI36" s="66"/>
      <c r="AJ36" s="66"/>
      <c r="AK36" s="66"/>
      <c r="AL36" s="66"/>
      <c r="AM36" s="66"/>
      <c r="AN36" s="66"/>
      <c r="AO36" s="39"/>
      <c r="AR36" s="6"/>
      <c r="AS36" s="6"/>
      <c r="AT36" s="6"/>
      <c r="AU36" s="6"/>
    </row>
    <row r="37" spans="2:47" s="6" customFormat="1" ht="15.95" customHeight="1" thickTop="1">
      <c r="B37" s="64"/>
      <c r="C37" s="71"/>
      <c r="D37" s="116"/>
      <c r="E37" s="116"/>
      <c r="F37" s="116"/>
      <c r="G37" s="116"/>
      <c r="H37" s="116"/>
      <c r="I37" s="116"/>
      <c r="J37" s="116"/>
      <c r="K37" s="88"/>
      <c r="L37" s="85"/>
      <c r="M37" s="67"/>
      <c r="N37" s="117"/>
      <c r="O37" s="117"/>
      <c r="P37" s="117"/>
      <c r="Q37" s="117"/>
      <c r="R37" s="117"/>
      <c r="S37" s="117"/>
      <c r="T37" s="117"/>
      <c r="U37" s="88"/>
      <c r="V37" s="85"/>
      <c r="W37" s="67"/>
      <c r="X37" s="117"/>
      <c r="Y37" s="117"/>
      <c r="Z37" s="117"/>
      <c r="AA37" s="117"/>
      <c r="AB37" s="117"/>
      <c r="AC37" s="117"/>
      <c r="AD37" s="117"/>
      <c r="AE37" s="88"/>
      <c r="AF37" s="85"/>
      <c r="AG37" s="67"/>
      <c r="AH37" s="117"/>
      <c r="AI37" s="117"/>
      <c r="AJ37" s="117"/>
      <c r="AK37" s="117"/>
      <c r="AL37" s="117"/>
      <c r="AM37" s="117"/>
      <c r="AN37" s="117"/>
      <c r="AO37" s="47"/>
      <c r="AR37" s="3"/>
      <c r="AS37" s="3"/>
      <c r="AT37" s="3"/>
      <c r="AU37" s="3"/>
    </row>
    <row r="38" spans="2:47" s="3" customFormat="1" ht="15.95" customHeight="1">
      <c r="B38" s="63"/>
      <c r="C38" s="62"/>
      <c r="D38" s="133" t="s">
        <v>7</v>
      </c>
      <c r="E38" s="134"/>
      <c r="F38" s="134"/>
      <c r="G38" s="134"/>
      <c r="H38" s="134"/>
      <c r="I38" s="134"/>
      <c r="J38" s="135"/>
      <c r="K38" s="86"/>
      <c r="L38" s="87"/>
      <c r="M38" s="62"/>
      <c r="N38" s="133" t="s">
        <v>10</v>
      </c>
      <c r="O38" s="134"/>
      <c r="P38" s="134"/>
      <c r="Q38" s="134"/>
      <c r="R38" s="134"/>
      <c r="S38" s="134"/>
      <c r="T38" s="135"/>
      <c r="U38" s="86"/>
      <c r="V38" s="87"/>
      <c r="W38" s="62"/>
      <c r="X38" s="133" t="s">
        <v>12</v>
      </c>
      <c r="Y38" s="134"/>
      <c r="Z38" s="134"/>
      <c r="AA38" s="134"/>
      <c r="AB38" s="134"/>
      <c r="AC38" s="134"/>
      <c r="AD38" s="135"/>
      <c r="AE38" s="91"/>
      <c r="AF38" s="87"/>
      <c r="AG38" s="62"/>
      <c r="AH38" s="133" t="s">
        <v>16</v>
      </c>
      <c r="AI38" s="134"/>
      <c r="AJ38" s="134"/>
      <c r="AK38" s="134"/>
      <c r="AL38" s="134"/>
      <c r="AM38" s="134"/>
      <c r="AN38" s="135"/>
      <c r="AO38" s="45"/>
      <c r="AR38" s="6"/>
      <c r="AS38" s="6"/>
      <c r="AT38" s="6"/>
      <c r="AU38" s="6"/>
    </row>
    <row r="39" spans="2:47" s="6" customFormat="1" ht="15.95" customHeight="1">
      <c r="B39" s="64"/>
      <c r="C39" s="60"/>
      <c r="D39" s="107" t="s">
        <v>0</v>
      </c>
      <c r="E39" s="107" t="s">
        <v>1</v>
      </c>
      <c r="F39" s="107" t="s">
        <v>2</v>
      </c>
      <c r="G39" s="107" t="s">
        <v>3</v>
      </c>
      <c r="H39" s="107" t="s">
        <v>2</v>
      </c>
      <c r="I39" s="107" t="s">
        <v>4</v>
      </c>
      <c r="J39" s="107" t="s">
        <v>0</v>
      </c>
      <c r="K39" s="81"/>
      <c r="L39" s="82"/>
      <c r="M39" s="60"/>
      <c r="N39" s="107" t="s">
        <v>0</v>
      </c>
      <c r="O39" s="107" t="s">
        <v>1</v>
      </c>
      <c r="P39" s="107" t="s">
        <v>2</v>
      </c>
      <c r="Q39" s="107" t="s">
        <v>3</v>
      </c>
      <c r="R39" s="107" t="s">
        <v>2</v>
      </c>
      <c r="S39" s="107" t="s">
        <v>4</v>
      </c>
      <c r="T39" s="107" t="s">
        <v>0</v>
      </c>
      <c r="U39" s="81"/>
      <c r="V39" s="82"/>
      <c r="W39" s="60"/>
      <c r="X39" s="107" t="s">
        <v>0</v>
      </c>
      <c r="Y39" s="107" t="s">
        <v>1</v>
      </c>
      <c r="Z39" s="107" t="s">
        <v>2</v>
      </c>
      <c r="AA39" s="107" t="s">
        <v>3</v>
      </c>
      <c r="AB39" s="107" t="s">
        <v>2</v>
      </c>
      <c r="AC39" s="107" t="s">
        <v>4</v>
      </c>
      <c r="AD39" s="107" t="s">
        <v>0</v>
      </c>
      <c r="AE39" s="81"/>
      <c r="AF39" s="82"/>
      <c r="AG39" s="60"/>
      <c r="AH39" s="107" t="s">
        <v>0</v>
      </c>
      <c r="AI39" s="107" t="s">
        <v>1</v>
      </c>
      <c r="AJ39" s="107" t="s">
        <v>2</v>
      </c>
      <c r="AK39" s="107" t="s">
        <v>3</v>
      </c>
      <c r="AL39" s="107" t="s">
        <v>2</v>
      </c>
      <c r="AM39" s="107" t="s">
        <v>4</v>
      </c>
      <c r="AN39" s="107" t="s">
        <v>0</v>
      </c>
      <c r="AO39" s="44"/>
      <c r="AR39" s="3"/>
      <c r="AS39" s="3"/>
      <c r="AT39" s="3"/>
      <c r="AU39" s="3"/>
    </row>
    <row r="40" spans="2:47" s="3" customFormat="1" ht="15.95" customHeight="1">
      <c r="B40" s="63"/>
      <c r="C40" s="60"/>
      <c r="D40" s="51" t="str">
        <f>IF(AND(YEAR(MarSun1)=$A$1,MONTH(MarSun1)=3),MarSun1,"")</f>
        <v/>
      </c>
      <c r="E40" s="51" t="str">
        <f>IF(AND(YEAR(MarSun1+1)=$A$1,MONTH(MarSun1+1)=3),MarSun1+1,"")</f>
        <v/>
      </c>
      <c r="F40" s="51">
        <f>IF(AND(YEAR(MarSun1+2)=$A$1,MONTH(MarSun1+2)=3),MarSun1+2,"")</f>
        <v>42430</v>
      </c>
      <c r="G40" s="51">
        <f>IF(AND(YEAR(MarSun1+3)=$A$1,MONTH(MarSun1+3)=3),MarSun1+3,"")</f>
        <v>42431</v>
      </c>
      <c r="H40" s="51">
        <f>IF(AND(YEAR(MarSun1+4)=$A$1,MONTH(MarSun1+4)=3),MarSun1+4,"")</f>
        <v>42432</v>
      </c>
      <c r="I40" s="51">
        <f>IF(AND(YEAR(MarSun1+5)=$A$1,MONTH(MarSun1+5)=3),MarSun1+5,"")</f>
        <v>42433</v>
      </c>
      <c r="J40" s="51">
        <f>IF(AND(YEAR(MarSun1+6)=$A$1,MONTH(MarSun1+6)=3),MarSun1+6,"")</f>
        <v>42434</v>
      </c>
      <c r="K40" s="49"/>
      <c r="L40" s="16"/>
      <c r="M40" s="60"/>
      <c r="N40" s="51" t="str">
        <f>IF(AND(YEAR(JunSun1)=$A$1,MONTH(JunSun1)=6),JunSun1,"")</f>
        <v/>
      </c>
      <c r="O40" s="51" t="str">
        <f>IF(AND(YEAR(JunSun1+1)=$A$1,MONTH(JunSun1+1)=6),JunSun1+1,"")</f>
        <v/>
      </c>
      <c r="P40" s="51" t="str">
        <f>IF(AND(YEAR(JunSun1+2)=$A$1,MONTH(JunSun1+2)=6),JunSun1+2,"")</f>
        <v/>
      </c>
      <c r="Q40" s="51">
        <f>IF(AND(YEAR(JunSun1+3)=$A$1,MONTH(JunSun1+3)=6),JunSun1+3,"")</f>
        <v>42522</v>
      </c>
      <c r="R40" s="51">
        <f>IF(AND(YEAR(JunSun1+4)=$A$1,MONTH(JunSun1+4)=6),JunSun1+4,"")</f>
        <v>42523</v>
      </c>
      <c r="S40" s="51">
        <f>IF(AND(YEAR(JunSun1+5)=$A$1,MONTH(JunSun1+5)=6),JunSun1+5,"")</f>
        <v>42524</v>
      </c>
      <c r="T40" s="51">
        <f>IF(AND(YEAR(JunSun1+6)=$A$1,MONTH(JunSun1+6)=6),JunSun1+6,"")</f>
        <v>42525</v>
      </c>
      <c r="U40" s="49"/>
      <c r="V40" s="16"/>
      <c r="W40" s="60"/>
      <c r="X40" s="51" t="str">
        <f>IF(AND(YEAR(SepSun1)=$A$1,MONTH(SepSun1)=9),SepSun1,"")</f>
        <v/>
      </c>
      <c r="Y40" s="51" t="str">
        <f>IF(AND(YEAR(SepSun1+1)=$A$1,MONTH(SepSun1+1)=9),SepSun1+1,"")</f>
        <v/>
      </c>
      <c r="Z40" s="51" t="str">
        <f>IF(AND(YEAR(SepSun1+2)=$A$1,MONTH(SepSun1+2)=9),SepSun1+2,"")</f>
        <v/>
      </c>
      <c r="AA40" s="51" t="str">
        <f>IF(AND(YEAR(SepSun1+3)=$A$1,MONTH(SepSun1+3)=9),SepSun1+3,"")</f>
        <v/>
      </c>
      <c r="AB40" s="51">
        <f>IF(AND(YEAR(SepSun1+4)=$A$1,MONTH(SepSun1+4)=9),SepSun1+4,"")</f>
        <v>42614</v>
      </c>
      <c r="AC40" s="51">
        <f>IF(AND(YEAR(SepSun1+5)=$A$1,MONTH(SepSun1+5)=9),SepSun1+5,"")</f>
        <v>42615</v>
      </c>
      <c r="AD40" s="51">
        <f>IF(AND(YEAR(SepSun1+6)=$A$1,MONTH(SepSun1+6)=9),SepSun1+6,"")</f>
        <v>42616</v>
      </c>
      <c r="AE40" s="49"/>
      <c r="AF40" s="16"/>
      <c r="AG40" s="60"/>
      <c r="AH40" s="51" t="str">
        <f>IF(AND(YEAR(DecSun1)=$A$1,MONTH(DecSun1)=12),DecSun1,"")</f>
        <v/>
      </c>
      <c r="AI40" s="51" t="str">
        <f>IF(AND(YEAR(DecSun1+1)=$A$1,MONTH(DecSun1+1)=12),DecSun1+1,"")</f>
        <v/>
      </c>
      <c r="AJ40" s="51" t="str">
        <f>IF(AND(YEAR(DecSun1+2)=$A$1,MONTH(DecSun1+2)=12),DecSun1+2,"")</f>
        <v/>
      </c>
      <c r="AK40" s="51" t="str">
        <f>IF(AND(YEAR(DecSun1+3)=$A$1,MONTH(DecSun1+3)=12),DecSun1+3,"")</f>
        <v/>
      </c>
      <c r="AL40" s="51">
        <f>IF(AND(YEAR(DecSun1+4)=$A$1,MONTH(DecSun1+4)=12),DecSun1+4,"")</f>
        <v>42705</v>
      </c>
      <c r="AM40" s="51">
        <f>IF(AND(YEAR(DecSun1+5)=$A$1,MONTH(DecSun1+5)=12),DecSun1+5,"")</f>
        <v>42706</v>
      </c>
      <c r="AN40" s="51">
        <f>IF(AND(YEAR(DecSun1+6)=$A$1,MONTH(DecSun1+6)=12),DecSun1+6,"")</f>
        <v>42707</v>
      </c>
      <c r="AO40" s="44"/>
      <c r="AR40" s="6"/>
      <c r="AS40" s="6"/>
      <c r="AT40" s="6"/>
      <c r="AU40" s="6"/>
    </row>
    <row r="41" spans="2:47" s="6" customFormat="1" ht="15.95" customHeight="1">
      <c r="B41" s="64"/>
      <c r="C41" s="62"/>
      <c r="D41" s="52"/>
      <c r="E41" s="52"/>
      <c r="F41" s="52"/>
      <c r="G41" s="52"/>
      <c r="H41" s="52"/>
      <c r="I41" s="52"/>
      <c r="J41" s="52"/>
      <c r="K41" s="83"/>
      <c r="L41" s="84"/>
      <c r="M41" s="62"/>
      <c r="N41" s="53"/>
      <c r="O41" s="52"/>
      <c r="P41" s="52"/>
      <c r="Q41" s="52"/>
      <c r="R41" s="52"/>
      <c r="S41" s="52"/>
      <c r="T41" s="52"/>
      <c r="U41" s="83"/>
      <c r="V41" s="84"/>
      <c r="W41" s="62"/>
      <c r="X41" s="53"/>
      <c r="Y41" s="53"/>
      <c r="Z41" s="52"/>
      <c r="AA41" s="52"/>
      <c r="AB41" s="52"/>
      <c r="AC41" s="52"/>
      <c r="AD41" s="52"/>
      <c r="AE41" s="83"/>
      <c r="AF41" s="84"/>
      <c r="AG41" s="62"/>
      <c r="AH41" s="53"/>
      <c r="AI41" s="53"/>
      <c r="AJ41" s="52"/>
      <c r="AK41" s="52"/>
      <c r="AL41" s="52"/>
      <c r="AM41" s="52"/>
      <c r="AN41" s="52"/>
      <c r="AO41" s="45"/>
      <c r="AR41" s="3"/>
      <c r="AS41" s="3"/>
      <c r="AT41" s="3"/>
      <c r="AU41" s="3"/>
    </row>
    <row r="42" spans="2:47" s="3" customFormat="1" ht="15.95" customHeight="1">
      <c r="B42" s="63"/>
      <c r="C42" s="60"/>
      <c r="D42" s="51">
        <f>IF(AND(YEAR(MarSun1+7)=$A$1,MONTH(MarSun1+7)=3),MarSun1+7,"")</f>
        <v>42435</v>
      </c>
      <c r="E42" s="51">
        <f>IF(AND(YEAR(MarSun1+8)=$A$1,MONTH(MarSun1+8)=3),MarSun1+8,"")</f>
        <v>42436</v>
      </c>
      <c r="F42" s="51">
        <f>IF(AND(YEAR(MarSun1+9)=$A$1,MONTH(MarSun1+9)=3),MarSun1+9,"")</f>
        <v>42437</v>
      </c>
      <c r="G42" s="51">
        <f>IF(AND(YEAR(MarSun1+10)=$A$1,MONTH(MarSun1+10)=3),MarSun1+10,"")</f>
        <v>42438</v>
      </c>
      <c r="H42" s="51">
        <f>IF(AND(YEAR(MarSun1+11)=$A$1,MONTH(MarSun1+11)=3),MarSun1+11,"")</f>
        <v>42439</v>
      </c>
      <c r="I42" s="51">
        <f>IF(AND(YEAR(MarSun1+12)=$A$1,MONTH(MarSun1+12)=3),MarSun1+12,"")</f>
        <v>42440</v>
      </c>
      <c r="J42" s="51">
        <f>IF(AND(YEAR(MarSun1+13)=$A$1,MONTH(MarSun1+13)=3),MarSun1+13,"")</f>
        <v>42441</v>
      </c>
      <c r="K42" s="49"/>
      <c r="L42" s="16"/>
      <c r="M42" s="60"/>
      <c r="N42" s="51">
        <f>IF(AND(YEAR(JunSun1+7)=$A$1,MONTH(JunSun1+7)=6),JunSun1+7,"")</f>
        <v>42526</v>
      </c>
      <c r="O42" s="51">
        <f>IF(AND(YEAR(JunSun1+8)=$A$1,MONTH(JunSun1+8)=6),JunSun1+8,"")</f>
        <v>42527</v>
      </c>
      <c r="P42" s="51">
        <f>IF(AND(YEAR(JunSun1+9)=$A$1,MONTH(JunSun1+9)=6),JunSun1+9,"")</f>
        <v>42528</v>
      </c>
      <c r="Q42" s="51">
        <f>IF(AND(YEAR(JunSun1+10)=$A$1,MONTH(JunSun1+10)=6),JunSun1+10,"")</f>
        <v>42529</v>
      </c>
      <c r="R42" s="51">
        <f>IF(AND(YEAR(JunSun1+11)=$A$1,MONTH(JunSun1+11)=6),JunSun1+11,"")</f>
        <v>42530</v>
      </c>
      <c r="S42" s="51">
        <f>IF(AND(YEAR(JunSun1+12)=$A$1,MONTH(JunSun1+12)=6),JunSun1+12,"")</f>
        <v>42531</v>
      </c>
      <c r="T42" s="51">
        <f>IF(AND(YEAR(JunSun1+13)=$A$1,MONTH(JunSun1+13)=6),JunSun1+13,"")</f>
        <v>42532</v>
      </c>
      <c r="U42" s="49"/>
      <c r="V42" s="16"/>
      <c r="W42" s="60"/>
      <c r="X42" s="51">
        <f>IF(AND(YEAR(SepSun1+7)=$A$1,MONTH(SepSun1+7)=9),SepSun1+7,"")</f>
        <v>42617</v>
      </c>
      <c r="Y42" s="51">
        <f>IF(AND(YEAR(SepSun1+8)=$A$1,MONTH(SepSun1+8)=9),SepSun1+8,"")</f>
        <v>42618</v>
      </c>
      <c r="Z42" s="51">
        <f>IF(AND(YEAR(SepSun1+9)=$A$1,MONTH(SepSun1+9)=9),SepSun1+9,"")</f>
        <v>42619</v>
      </c>
      <c r="AA42" s="51">
        <f>IF(AND(YEAR(SepSun1+10)=$A$1,MONTH(SepSun1+10)=9),SepSun1+10,"")</f>
        <v>42620</v>
      </c>
      <c r="AB42" s="51">
        <f>IF(AND(YEAR(SepSun1+11)=$A$1,MONTH(SepSun1+11)=9),SepSun1+11,"")</f>
        <v>42621</v>
      </c>
      <c r="AC42" s="51">
        <f>IF(AND(YEAR(SepSun1+12)=$A$1,MONTH(SepSun1+12)=9),SepSun1+12,"")</f>
        <v>42622</v>
      </c>
      <c r="AD42" s="51">
        <f>IF(AND(YEAR(SepSun1+13)=$A$1,MONTH(SepSun1+13)=9),SepSun1+13,"")</f>
        <v>42623</v>
      </c>
      <c r="AE42" s="49"/>
      <c r="AF42" s="16"/>
      <c r="AG42" s="60"/>
      <c r="AH42" s="51">
        <f>IF(AND(YEAR(DecSun1+7)=$A$1,MONTH(DecSun1+7)=12),DecSun1+7,"")</f>
        <v>42708</v>
      </c>
      <c r="AI42" s="51">
        <f>IF(AND(YEAR(DecSun1+8)=$A$1,MONTH(DecSun1+8)=12),DecSun1+8,"")</f>
        <v>42709</v>
      </c>
      <c r="AJ42" s="51">
        <f>IF(AND(YEAR(DecSun1+9)=$A$1,MONTH(DecSun1+9)=12),DecSun1+9,"")</f>
        <v>42710</v>
      </c>
      <c r="AK42" s="51">
        <f>IF(AND(YEAR(DecSun1+10)=$A$1,MONTH(DecSun1+10)=12),DecSun1+10,"")</f>
        <v>42711</v>
      </c>
      <c r="AL42" s="51">
        <f>IF(AND(YEAR(DecSun1+11)=$A$1,MONTH(DecSun1+11)=12),DecSun1+11,"")</f>
        <v>42712</v>
      </c>
      <c r="AM42" s="51">
        <f>IF(AND(YEAR(DecSun1+12)=$A$1,MONTH(DecSun1+12)=12),DecSun1+12,"")</f>
        <v>42713</v>
      </c>
      <c r="AN42" s="51">
        <f>IF(AND(YEAR(DecSun1+13)=$A$1,MONTH(DecSun1+13)=12),DecSun1+13,"")</f>
        <v>42714</v>
      </c>
      <c r="AO42" s="44"/>
      <c r="AR42" s="6"/>
      <c r="AS42" s="6"/>
      <c r="AT42" s="6"/>
      <c r="AU42" s="6"/>
    </row>
    <row r="43" spans="2:47" s="6" customFormat="1" ht="15.95" customHeight="1">
      <c r="B43" s="64"/>
      <c r="C43" s="62"/>
      <c r="D43" s="52"/>
      <c r="E43" s="52"/>
      <c r="F43" s="52"/>
      <c r="G43" s="52"/>
      <c r="H43" s="52"/>
      <c r="I43" s="52"/>
      <c r="J43" s="52"/>
      <c r="K43" s="83"/>
      <c r="L43" s="84"/>
      <c r="M43" s="62"/>
      <c r="N43" s="52"/>
      <c r="O43" s="52"/>
      <c r="P43" s="52"/>
      <c r="Q43" s="52"/>
      <c r="R43" s="52"/>
      <c r="S43" s="52"/>
      <c r="T43" s="52"/>
      <c r="U43" s="83"/>
      <c r="V43" s="84"/>
      <c r="W43" s="62"/>
      <c r="X43" s="52"/>
      <c r="Y43" s="52"/>
      <c r="Z43" s="52"/>
      <c r="AA43" s="52"/>
      <c r="AB43" s="52"/>
      <c r="AC43" s="52"/>
      <c r="AD43" s="52"/>
      <c r="AE43" s="83"/>
      <c r="AF43" s="84"/>
      <c r="AG43" s="62"/>
      <c r="AH43" s="52"/>
      <c r="AI43" s="52"/>
      <c r="AJ43" s="52"/>
      <c r="AK43" s="52"/>
      <c r="AL43" s="52"/>
      <c r="AM43" s="52"/>
      <c r="AN43" s="52"/>
      <c r="AO43" s="45"/>
      <c r="AR43" s="3"/>
      <c r="AS43" s="3"/>
      <c r="AT43" s="3"/>
      <c r="AU43" s="3"/>
    </row>
    <row r="44" spans="1:47" ht="15.95" customHeight="1">
      <c r="A44" s="3"/>
      <c r="B44" s="63"/>
      <c r="C44" s="60"/>
      <c r="D44" s="51">
        <f>IF(AND(YEAR(MarSun1+14)=$A$1,MONTH(MarSun1+14)=3),MarSun1+14,"")</f>
        <v>42442</v>
      </c>
      <c r="E44" s="51">
        <f>IF(AND(YEAR(MarSun1+15)=$A$1,MONTH(MarSun1+15)=3),MarSun1+15,"")</f>
        <v>42443</v>
      </c>
      <c r="F44" s="51">
        <f>IF(AND(YEAR(MarSun1+16)=$A$1,MONTH(MarSun1+16)=3),MarSun1+16,"")</f>
        <v>42444</v>
      </c>
      <c r="G44" s="51">
        <f>IF(AND(YEAR(MarSun1+17)=$A$1,MONTH(MarSun1+17)=3),MarSun1+17,"")</f>
        <v>42445</v>
      </c>
      <c r="H44" s="51">
        <f>IF(AND(YEAR(MarSun1+18)=$A$1,MONTH(MarSun1+18)=3),MarSun1+18,"")</f>
        <v>42446</v>
      </c>
      <c r="I44" s="51">
        <f>IF(AND(YEAR(MarSun1+19)=$A$1,MONTH(MarSun1+19)=3),MarSun1+19,"")</f>
        <v>42447</v>
      </c>
      <c r="J44" s="51">
        <f>IF(AND(YEAR(MarSun1+20)=$A$1,MONTH(MarSun1+20)=3),MarSun1+20,"")</f>
        <v>42448</v>
      </c>
      <c r="K44" s="49"/>
      <c r="L44" s="16"/>
      <c r="M44" s="60"/>
      <c r="N44" s="51">
        <f>IF(AND(YEAR(JunSun1+14)=$A$1,MONTH(JunSun1+14)=6),JunSun1+14,"")</f>
        <v>42533</v>
      </c>
      <c r="O44" s="51">
        <f>IF(AND(YEAR(JunSun1+15)=$A$1,MONTH(JunSun1+15)=6),JunSun1+15,"")</f>
        <v>42534</v>
      </c>
      <c r="P44" s="51">
        <f>IF(AND(YEAR(JunSun1+16)=$A$1,MONTH(JunSun1+16)=6),JunSun1+16,"")</f>
        <v>42535</v>
      </c>
      <c r="Q44" s="51">
        <f>IF(AND(YEAR(JunSun1+17)=$A$1,MONTH(JunSun1+17)=6),JunSun1+17,"")</f>
        <v>42536</v>
      </c>
      <c r="R44" s="51">
        <f>IF(AND(YEAR(JunSun1+18)=$A$1,MONTH(JunSun1+18)=6),JunSun1+18,"")</f>
        <v>42537</v>
      </c>
      <c r="S44" s="51">
        <f>IF(AND(YEAR(JunSun1+19)=$A$1,MONTH(JunSun1+19)=6),JunSun1+19,"")</f>
        <v>42538</v>
      </c>
      <c r="T44" s="51">
        <f>IF(AND(YEAR(JunSun1+20)=$A$1,MONTH(JunSun1+20)=6),JunSun1+20,"")</f>
        <v>42539</v>
      </c>
      <c r="U44" s="49"/>
      <c r="V44" s="16"/>
      <c r="W44" s="60"/>
      <c r="X44" s="51">
        <f>IF(AND(YEAR(SepSun1+14)=$A$1,MONTH(SepSun1+14)=9),SepSun1+14,"")</f>
        <v>42624</v>
      </c>
      <c r="Y44" s="51">
        <f>IF(AND(YEAR(SepSun1+15)=$A$1,MONTH(SepSun1+15)=9),SepSun1+15,"")</f>
        <v>42625</v>
      </c>
      <c r="Z44" s="51">
        <f>IF(AND(YEAR(SepSun1+16)=$A$1,MONTH(SepSun1+16)=9),SepSun1+16,"")</f>
        <v>42626</v>
      </c>
      <c r="AA44" s="51">
        <f>IF(AND(YEAR(SepSun1+17)=$A$1,MONTH(SepSun1+17)=9),SepSun1+17,"")</f>
        <v>42627</v>
      </c>
      <c r="AB44" s="51">
        <f>IF(AND(YEAR(SepSun1+18)=$A$1,MONTH(SepSun1+18)=9),SepSun1+18,"")</f>
        <v>42628</v>
      </c>
      <c r="AC44" s="51">
        <f>IF(AND(YEAR(SepSun1+19)=$A$1,MONTH(SepSun1+19)=9),SepSun1+19,"")</f>
        <v>42629</v>
      </c>
      <c r="AD44" s="51">
        <f>IF(AND(YEAR(SepSun1+20)=$A$1,MONTH(SepSun1+20)=9),SepSun1+20,"")</f>
        <v>42630</v>
      </c>
      <c r="AE44" s="49"/>
      <c r="AF44" s="16"/>
      <c r="AG44" s="60"/>
      <c r="AH44" s="51">
        <f>IF(AND(YEAR(DecSun1+14)=$A$1,MONTH(DecSun1+14)=12),DecSun1+14,"")</f>
        <v>42715</v>
      </c>
      <c r="AI44" s="51">
        <f>IF(AND(YEAR(DecSun1+15)=$A$1,MONTH(DecSun1+15)=12),DecSun1+15,"")</f>
        <v>42716</v>
      </c>
      <c r="AJ44" s="51">
        <f>IF(AND(YEAR(DecSun1+16)=$A$1,MONTH(DecSun1+16)=12),DecSun1+16,"")</f>
        <v>42717</v>
      </c>
      <c r="AK44" s="51">
        <f>IF(AND(YEAR(DecSun1+17)=$A$1,MONTH(DecSun1+17)=12),DecSun1+17,"")</f>
        <v>42718</v>
      </c>
      <c r="AL44" s="51">
        <f>IF(AND(YEAR(DecSun1+18)=$A$1,MONTH(DecSun1+18)=12),DecSun1+18,"")</f>
        <v>42719</v>
      </c>
      <c r="AM44" s="51">
        <f>IF(AND(YEAR(DecSun1+19)=$A$1,MONTH(DecSun1+19)=12),DecSun1+19,"")</f>
        <v>42720</v>
      </c>
      <c r="AN44" s="51">
        <f>IF(AND(YEAR(DecSun1+20)=$A$1,MONTH(DecSun1+20)=12),DecSun1+20,"")</f>
        <v>42721</v>
      </c>
      <c r="AO44" s="44"/>
      <c r="AP44" s="3"/>
      <c r="AQ44" s="3"/>
      <c r="AR44" s="6"/>
      <c r="AS44" s="6"/>
      <c r="AT44" s="6"/>
      <c r="AU44" s="6"/>
    </row>
    <row r="45" spans="1:47" ht="15.95" customHeight="1">
      <c r="A45" s="6"/>
      <c r="B45" s="64"/>
      <c r="C45" s="62"/>
      <c r="D45" s="52"/>
      <c r="E45" s="52"/>
      <c r="F45" s="52"/>
      <c r="G45" s="52"/>
      <c r="H45" s="52"/>
      <c r="I45" s="52"/>
      <c r="J45" s="52"/>
      <c r="K45" s="83"/>
      <c r="L45" s="84"/>
      <c r="M45" s="62"/>
      <c r="N45" s="52"/>
      <c r="O45" s="52"/>
      <c r="P45" s="52"/>
      <c r="Q45" s="52"/>
      <c r="R45" s="52"/>
      <c r="S45" s="52"/>
      <c r="T45" s="52"/>
      <c r="U45" s="83"/>
      <c r="V45" s="84"/>
      <c r="W45" s="62"/>
      <c r="X45" s="52"/>
      <c r="Y45" s="52"/>
      <c r="Z45" s="52"/>
      <c r="AA45" s="52"/>
      <c r="AB45" s="52"/>
      <c r="AC45" s="52"/>
      <c r="AD45" s="52"/>
      <c r="AE45" s="83"/>
      <c r="AF45" s="84"/>
      <c r="AG45" s="62"/>
      <c r="AH45" s="52"/>
      <c r="AI45" s="52"/>
      <c r="AJ45" s="52"/>
      <c r="AK45" s="52"/>
      <c r="AL45" s="52"/>
      <c r="AM45" s="52"/>
      <c r="AN45" s="52"/>
      <c r="AO45" s="45"/>
      <c r="AP45" s="16"/>
      <c r="AQ45" s="6"/>
      <c r="AR45" s="3"/>
      <c r="AS45" s="3"/>
      <c r="AT45" s="3"/>
      <c r="AU45" s="3"/>
    </row>
    <row r="46" spans="1:47" ht="15.95" customHeight="1">
      <c r="A46" s="3"/>
      <c r="B46" s="63"/>
      <c r="C46" s="60"/>
      <c r="D46" s="51">
        <f>IF(AND(YEAR(MarSun1+21)=$A$1,MONTH(MarSun1+21)=3),MarSun1+21,"")</f>
        <v>42449</v>
      </c>
      <c r="E46" s="51">
        <f>IF(AND(YEAR(MarSun1+22)=$A$1,MONTH(MarSun1+22)=3),MarSun1+22,"")</f>
        <v>42450</v>
      </c>
      <c r="F46" s="51">
        <f>IF(AND(YEAR(MarSun1+23)=$A$1,MONTH(MarSun1+23)=3),MarSun1+23,"")</f>
        <v>42451</v>
      </c>
      <c r="G46" s="51">
        <f>IF(AND(YEAR(MarSun1+24)=$A$1,MONTH(MarSun1+24)=3),MarSun1+24,"")</f>
        <v>42452</v>
      </c>
      <c r="H46" s="51">
        <f>IF(AND(YEAR(MarSun1+25)=$A$1,MONTH(MarSun1+25)=3),MarSun1+25,"")</f>
        <v>42453</v>
      </c>
      <c r="I46" s="51">
        <f>IF(AND(YEAR(MarSun1+26)=$A$1,MONTH(MarSun1+26)=3),MarSun1+26,"")</f>
        <v>42454</v>
      </c>
      <c r="J46" s="51">
        <f>IF(AND(YEAR(MarSun1+27)=$A$1,MONTH(MarSun1+27)=3),MarSun1+27,"")</f>
        <v>42455</v>
      </c>
      <c r="K46" s="49"/>
      <c r="L46" s="16"/>
      <c r="M46" s="60"/>
      <c r="N46" s="51">
        <f>IF(AND(YEAR(JunSun1+21)=$A$1,MONTH(JunSun1+21)=6),JunSun1+21,"")</f>
        <v>42540</v>
      </c>
      <c r="O46" s="51">
        <f>IF(AND(YEAR(JunSun1+22)=$A$1,MONTH(JunSun1+22)=6),JunSun1+22,"")</f>
        <v>42541</v>
      </c>
      <c r="P46" s="51">
        <f>IF(AND(YEAR(JunSun1+23)=$A$1,MONTH(JunSun1+23)=6),JunSun1+23,"")</f>
        <v>42542</v>
      </c>
      <c r="Q46" s="51">
        <f>IF(AND(YEAR(JunSun1+24)=$A$1,MONTH(JunSun1+24)=6),JunSun1+24,"")</f>
        <v>42543</v>
      </c>
      <c r="R46" s="51">
        <f>IF(AND(YEAR(JunSun1+25)=$A$1,MONTH(JunSun1+25)=6),JunSun1+25,"")</f>
        <v>42544</v>
      </c>
      <c r="S46" s="51">
        <f>IF(AND(YEAR(JunSun1+26)=$A$1,MONTH(JunSun1+26)=6),JunSun1+26,"")</f>
        <v>42545</v>
      </c>
      <c r="T46" s="51">
        <f>IF(AND(YEAR(JunSun1+27)=$A$1,MONTH(JunSun1+27)=6),JunSun1+27,"")</f>
        <v>42546</v>
      </c>
      <c r="U46" s="49"/>
      <c r="V46" s="16"/>
      <c r="W46" s="60"/>
      <c r="X46" s="51">
        <f>IF(AND(YEAR(SepSun1+21)=$A$1,MONTH(SepSun1+21)=9),SepSun1+21,"")</f>
        <v>42631</v>
      </c>
      <c r="Y46" s="51">
        <f>IF(AND(YEAR(SepSun1+22)=$A$1,MONTH(SepSun1+22)=9),SepSun1+22,"")</f>
        <v>42632</v>
      </c>
      <c r="Z46" s="51">
        <f>IF(AND(YEAR(SepSun1+23)=$A$1,MONTH(SepSun1+23)=9),SepSun1+23,"")</f>
        <v>42633</v>
      </c>
      <c r="AA46" s="51">
        <f>IF(AND(YEAR(SepSun1+24)=$A$1,MONTH(SepSun1+24)=9),SepSun1+24,"")</f>
        <v>42634</v>
      </c>
      <c r="AB46" s="51">
        <f>IF(AND(YEAR(SepSun1+25)=$A$1,MONTH(SepSun1+25)=9),SepSun1+25,"")</f>
        <v>42635</v>
      </c>
      <c r="AC46" s="51">
        <f>IF(AND(YEAR(SepSun1+26)=$A$1,MONTH(SepSun1+26)=9),SepSun1+26,"")</f>
        <v>42636</v>
      </c>
      <c r="AD46" s="51">
        <f>IF(AND(YEAR(SepSun1+27)=$A$1,MONTH(SepSun1+27)=9),SepSun1+27,"")</f>
        <v>42637</v>
      </c>
      <c r="AE46" s="49"/>
      <c r="AF46" s="16"/>
      <c r="AG46" s="60"/>
      <c r="AH46" s="51">
        <f>IF(AND(YEAR(DecSun1+21)=$A$1,MONTH(DecSun1+21)=12),DecSun1+21,"")</f>
        <v>42722</v>
      </c>
      <c r="AI46" s="51">
        <f>IF(AND(YEAR(DecSun1+22)=$A$1,MONTH(DecSun1+22)=12),DecSun1+22,"")</f>
        <v>42723</v>
      </c>
      <c r="AJ46" s="51">
        <f>IF(AND(YEAR(DecSun1+23)=$A$1,MONTH(DecSun1+23)=12),DecSun1+23,"")</f>
        <v>42724</v>
      </c>
      <c r="AK46" s="51">
        <f>IF(AND(YEAR(DecSun1+24)=$A$1,MONTH(DecSun1+24)=12),DecSun1+24,"")</f>
        <v>42725</v>
      </c>
      <c r="AL46" s="51">
        <f>IF(AND(YEAR(DecSun1+25)=$A$1,MONTH(DecSun1+25)=12),DecSun1+25,"")</f>
        <v>42726</v>
      </c>
      <c r="AM46" s="51">
        <f>IF(AND(YEAR(DecSun1+26)=$A$1,MONTH(DecSun1+26)=12),DecSun1+26,"")</f>
        <v>42727</v>
      </c>
      <c r="AN46" s="51">
        <f>IF(AND(YEAR(DecSun1+27)=$A$1,MONTH(DecSun1+27)=12),DecSun1+27,"")</f>
        <v>42728</v>
      </c>
      <c r="AO46" s="44"/>
      <c r="AP46" s="40"/>
      <c r="AQ46" s="3"/>
      <c r="AR46" s="6"/>
      <c r="AS46" s="6"/>
      <c r="AT46" s="6"/>
      <c r="AU46" s="6"/>
    </row>
    <row r="47" spans="1:44" ht="15.95" customHeight="1">
      <c r="A47" s="6"/>
      <c r="B47" s="64"/>
      <c r="C47" s="62"/>
      <c r="D47" s="52"/>
      <c r="E47" s="52"/>
      <c r="F47" s="52"/>
      <c r="G47" s="52"/>
      <c r="H47" s="52"/>
      <c r="I47" s="52"/>
      <c r="J47" s="52"/>
      <c r="K47" s="83"/>
      <c r="L47" s="84"/>
      <c r="M47" s="62"/>
      <c r="N47" s="52"/>
      <c r="O47" s="52"/>
      <c r="P47" s="52"/>
      <c r="Q47" s="52"/>
      <c r="R47" s="52"/>
      <c r="S47" s="52"/>
      <c r="T47" s="52"/>
      <c r="U47" s="83"/>
      <c r="V47" s="84"/>
      <c r="W47" s="62"/>
      <c r="X47" s="52"/>
      <c r="Y47" s="52"/>
      <c r="Z47" s="52"/>
      <c r="AA47" s="52"/>
      <c r="AB47" s="52"/>
      <c r="AC47" s="52"/>
      <c r="AD47" s="52"/>
      <c r="AE47" s="83"/>
      <c r="AF47" s="84"/>
      <c r="AG47" s="62"/>
      <c r="AH47" s="52"/>
      <c r="AI47" s="52"/>
      <c r="AJ47" s="52"/>
      <c r="AK47" s="52"/>
      <c r="AL47" s="52"/>
      <c r="AM47" s="52"/>
      <c r="AN47" s="52"/>
      <c r="AO47" s="45"/>
      <c r="AQ47" s="16"/>
      <c r="AR47" s="12"/>
    </row>
    <row r="48" spans="2:43" s="42" customFormat="1" ht="15.95" customHeight="1">
      <c r="B48" s="72"/>
      <c r="C48" s="60"/>
      <c r="D48" s="51">
        <f>IF(AND(YEAR(MarSun1+28)=$A$1,MONTH(MarSun1+28)=3),MarSun1+28,"")</f>
        <v>42456</v>
      </c>
      <c r="E48" s="51">
        <f>IF(AND(YEAR(MarSun1+29)=$A$1,MONTH(MarSun1+29)=3),MarSun1+29,"")</f>
        <v>42457</v>
      </c>
      <c r="F48" s="51">
        <f>IF(AND(YEAR(MarSun1+30)=$A$1,MONTH(MarSun1+30)=3),MarSun1+30,"")</f>
        <v>42458</v>
      </c>
      <c r="G48" s="51">
        <f>IF(AND(YEAR(MarSun1+31)=$A$1,MONTH(MarSun1+31)=3),MarSun1+31,"")</f>
        <v>42459</v>
      </c>
      <c r="H48" s="51">
        <f>IF(AND(YEAR(MarSun1+32)=$A$1,MONTH(MarSun1+32)=3),MarSun1+32,"")</f>
        <v>42460</v>
      </c>
      <c r="I48" s="51" t="str">
        <f>IF(AND(YEAR(MarSun1+33)=$A$1,MONTH(MarSun1+33)=3),MarSun1+33,"")</f>
        <v/>
      </c>
      <c r="J48" s="51" t="str">
        <f>IF(AND(YEAR(MarSun1+34)=$A$1,MONTH(MarSun1+34)=3),MarSun1+34,"")</f>
        <v/>
      </c>
      <c r="K48" s="49"/>
      <c r="L48" s="16"/>
      <c r="M48" s="60"/>
      <c r="N48" s="51">
        <f>IF(AND(YEAR(JunSun1+28)=$A$1,MONTH(JunSun1+28)=6),JunSun1+28,"")</f>
        <v>42547</v>
      </c>
      <c r="O48" s="51">
        <f>IF(AND(YEAR(JunSun1+29)=$A$1,MONTH(JunSun1+29)=6),JunSun1+29,"")</f>
        <v>42548</v>
      </c>
      <c r="P48" s="51">
        <f>IF(AND(YEAR(JunSun1+30)=$A$1,MONTH(JunSun1+30)=6),JunSun1+30,"")</f>
        <v>42549</v>
      </c>
      <c r="Q48" s="51">
        <f>IF(AND(YEAR(JunSun1+31)=$A$1,MONTH(JunSun1+31)=6),JunSun1+31,"")</f>
        <v>42550</v>
      </c>
      <c r="R48" s="51">
        <f>IF(AND(YEAR(JunSun1+32)=$A$1,MONTH(JunSun1+32)=6),JunSun1+32,"")</f>
        <v>42551</v>
      </c>
      <c r="S48" s="51" t="str">
        <f>IF(AND(YEAR(JunSun1+33)=$A$1,MONTH(JunSun1+33)=6),JunSun1+33,"")</f>
        <v/>
      </c>
      <c r="T48" s="51" t="str">
        <f>IF(AND(YEAR(JunSun1+34)=$A$1,MONTH(JunSun1+34)=6),JunSun1+34,"")</f>
        <v/>
      </c>
      <c r="U48" s="49"/>
      <c r="V48" s="16"/>
      <c r="W48" s="60"/>
      <c r="X48" s="51">
        <f>IF(AND(YEAR(SepSun1+28)=$A$1,MONTH(SepSun1+28)=9),SepSun1+28,"")</f>
        <v>42638</v>
      </c>
      <c r="Y48" s="51">
        <f>IF(AND(YEAR(SepSun1+29)=$A$1,MONTH(SepSun1+29)=9),SepSun1+29,"")</f>
        <v>42639</v>
      </c>
      <c r="Z48" s="51">
        <f>IF(AND(YEAR(SepSun1+30)=$A$1,MONTH(SepSun1+30)=9),SepSun1+30,"")</f>
        <v>42640</v>
      </c>
      <c r="AA48" s="51">
        <f>IF(AND(YEAR(SepSun1+31)=$A$1,MONTH(SepSun1+31)=9),SepSun1+31,"")</f>
        <v>42641</v>
      </c>
      <c r="AB48" s="51">
        <f>IF(AND(YEAR(SepSun1+32)=$A$1,MONTH(SepSun1+32)=9),SepSun1+32,"")</f>
        <v>42642</v>
      </c>
      <c r="AC48" s="51">
        <f>IF(AND(YEAR(SepSun1+33)=$A$1,MONTH(SepSun1+33)=9),SepSun1+33,"")</f>
        <v>42643</v>
      </c>
      <c r="AD48" s="51" t="str">
        <f>IF(AND(YEAR(SepSun1+34)=$A$1,MONTH(SepSun1+34)=9),SepSun1+34,"")</f>
        <v/>
      </c>
      <c r="AE48" s="49"/>
      <c r="AF48" s="16"/>
      <c r="AG48" s="60"/>
      <c r="AH48" s="51">
        <f>IF(AND(YEAR(DecSun1+28)=$A$1,MONTH(DecSun1+28)=12),DecSun1+28,"")</f>
        <v>42729</v>
      </c>
      <c r="AI48" s="51">
        <f>IF(AND(YEAR(DecSun1+29)=$A$1,MONTH(DecSun1+29)=12),DecSun1+29,"")</f>
        <v>42730</v>
      </c>
      <c r="AJ48" s="51">
        <f>IF(AND(YEAR(DecSun1+30)=$A$1,MONTH(DecSun1+30)=12),DecSun1+30,"")</f>
        <v>42731</v>
      </c>
      <c r="AK48" s="51">
        <f>IF(AND(YEAR(DecSun1+31)=$A$1,MONTH(DecSun1+31)=12),DecSun1+31,"")</f>
        <v>42732</v>
      </c>
      <c r="AL48" s="51">
        <f>IF(AND(YEAR(DecSun1+32)=$A$1,MONTH(DecSun1+32)=12),DecSun1+32,"")</f>
        <v>42733</v>
      </c>
      <c r="AM48" s="51">
        <f>IF(AND(YEAR(DecSun1+33)=$A$1,MONTH(DecSun1+33)=12),DecSun1+33,"")</f>
        <v>42734</v>
      </c>
      <c r="AN48" s="51">
        <f>IF(AND(YEAR(DecSun1+34)=$A$1,MONTH(DecSun1+34)=12),DecSun1+34,"")</f>
        <v>42735</v>
      </c>
      <c r="AO48" s="44"/>
      <c r="AP48" s="2"/>
      <c r="AQ48" s="40"/>
    </row>
    <row r="49" spans="3:41" ht="12.75">
      <c r="C49" s="62"/>
      <c r="D49" s="52"/>
      <c r="E49" s="52"/>
      <c r="F49" s="52"/>
      <c r="G49" s="52"/>
      <c r="H49" s="52"/>
      <c r="I49" s="53"/>
      <c r="J49" s="53"/>
      <c r="K49" s="83"/>
      <c r="L49" s="84"/>
      <c r="M49" s="62"/>
      <c r="N49" s="52"/>
      <c r="O49" s="52"/>
      <c r="P49" s="52"/>
      <c r="Q49" s="52"/>
      <c r="R49" s="52"/>
      <c r="S49" s="53"/>
      <c r="T49" s="53"/>
      <c r="U49" s="83"/>
      <c r="V49" s="84"/>
      <c r="W49" s="62"/>
      <c r="X49" s="52"/>
      <c r="Y49" s="52"/>
      <c r="Z49" s="52"/>
      <c r="AA49" s="52"/>
      <c r="AB49" s="52"/>
      <c r="AC49" s="52"/>
      <c r="AD49" s="53"/>
      <c r="AE49" s="83"/>
      <c r="AF49" s="84"/>
      <c r="AG49" s="62"/>
      <c r="AH49" s="52"/>
      <c r="AI49" s="52"/>
      <c r="AJ49" s="52"/>
      <c r="AK49" s="52"/>
      <c r="AL49" s="52"/>
      <c r="AM49" s="52"/>
      <c r="AN49" s="52"/>
      <c r="AO49" s="45"/>
    </row>
    <row r="50" spans="3:41" ht="12.75">
      <c r="C50" s="60"/>
      <c r="D50" s="51" t="str">
        <f>IF(AND(YEAR(MarSun1+35)=$A$1,MONTH(MarSun1+35)=3),MarSun1+35,"")</f>
        <v/>
      </c>
      <c r="E50" s="51" t="str">
        <f>IF(AND(YEAR(MarSun1+36)=$A$1,MONTH(MarSun1+36)=3),MarSun1+36,"")</f>
        <v/>
      </c>
      <c r="F50" s="51" t="str">
        <f>IF(AND(YEAR(MarSun1+37)=$A$1,MONTH(MarSun1+37)=3),MarSun1+37,"")</f>
        <v/>
      </c>
      <c r="G50" s="51" t="str">
        <f>IF(AND(YEAR(MarSun1+38)=$A$1,MONTH(MarSun1+38)=3),MarSun1+38,"")</f>
        <v/>
      </c>
      <c r="H50" s="51" t="str">
        <f>IF(AND(YEAR(MarSun1+39)=$A$1,MONTH(MarSun1+39)=3),MarSun1+39,"")</f>
        <v/>
      </c>
      <c r="I50" s="51" t="str">
        <f>IF(AND(YEAR(MarSun1+40)=$A$1,MONTH(MarSun1+40)=3),MarSun1+40,"")</f>
        <v/>
      </c>
      <c r="J50" s="51" t="str">
        <f>IF(AND(YEAR(MarSun1+41)=$A$1,MONTH(MarSun1+41)=3),MarSun1+41,"")</f>
        <v/>
      </c>
      <c r="K50" s="49"/>
      <c r="L50" s="16"/>
      <c r="M50" s="60"/>
      <c r="N50" s="51" t="str">
        <f>IF(AND(YEAR(JunSun1+35)=$A$1,MONTH(JunSun1+35)=6),JunSun1+35,"")</f>
        <v/>
      </c>
      <c r="O50" s="51" t="str">
        <f>IF(AND(YEAR(JunSun1+36)=$A$1,MONTH(JunSun1+36)=6),JunSun1+36,"")</f>
        <v/>
      </c>
      <c r="P50" s="51" t="str">
        <f>IF(AND(YEAR(JunSun1+37)=$A$1,MONTH(JunSun1+37)=6),JunSun1+37,"")</f>
        <v/>
      </c>
      <c r="Q50" s="51" t="str">
        <f>IF(AND(YEAR(JunSun1+38)=$A$1,MONTH(JunSun1+38)=6),JunSun1+38,"")</f>
        <v/>
      </c>
      <c r="R50" s="51" t="str">
        <f>IF(AND(YEAR(JunSun1+39)=$A$1,MONTH(JunSun1+39)=6),JunSun1+39,"")</f>
        <v/>
      </c>
      <c r="S50" s="51" t="str">
        <f>IF(AND(YEAR(JunSun1+40)=$A$1,MONTH(JunSun1+40)=6),JunSun1+40,"")</f>
        <v/>
      </c>
      <c r="T50" s="51" t="str">
        <f>IF(AND(YEAR(JunSun1+41)=$A$1,MONTH(JunSun1+41)=6),JunSun1+41,"")</f>
        <v/>
      </c>
      <c r="U50" s="49"/>
      <c r="V50" s="16"/>
      <c r="W50" s="60"/>
      <c r="X50" s="51" t="str">
        <f>IF(AND(YEAR(SepSun1+35)=$A$1,MONTH(SepSun1+35)=9),SepSun1+35,"")</f>
        <v/>
      </c>
      <c r="Y50" s="51" t="str">
        <f>IF(AND(YEAR(SepSun1+36)=$A$1,MONTH(SepSun1+36)=9),SepSun1+36,"")</f>
        <v/>
      </c>
      <c r="Z50" s="51" t="str">
        <f>IF(AND(YEAR(SepSun1+37)=$A$1,MONTH(SepSun1+37)=9),SepSun1+37,"")</f>
        <v/>
      </c>
      <c r="AA50" s="51" t="str">
        <f>IF(AND(YEAR(SepSun1+38)=$A$1,MONTH(SepSun1+38)=9),SepSun1+38,"")</f>
        <v/>
      </c>
      <c r="AB50" s="51" t="str">
        <f>IF(AND(YEAR(SepSun1+39)=$A$1,MONTH(SepSun1+39)=9),SepSun1+39,"")</f>
        <v/>
      </c>
      <c r="AC50" s="51" t="str">
        <f>IF(AND(YEAR(SepSun1+40)=$A$1,MONTH(SepSun1+40)=9),SepSun1+40,"")</f>
        <v/>
      </c>
      <c r="AD50" s="51" t="str">
        <f>IF(AND(YEAR(SepSun1+41)=$A$1,MONTH(SepSun1+41)=9),SepSun1+41,"")</f>
        <v/>
      </c>
      <c r="AE50" s="49"/>
      <c r="AF50" s="16"/>
      <c r="AG50" s="60"/>
      <c r="AH50" s="51" t="str">
        <f>IF(AND(YEAR(DecSun1+35)=$A$1,MONTH(DecSun1+35)=12),DecSun1+35,"")</f>
        <v/>
      </c>
      <c r="AI50" s="51" t="str">
        <f>IF(AND(YEAR(DecSun1+36)=$A$1,MONTH(DecSun1+36)=12),DecSun1+36,"")</f>
        <v/>
      </c>
      <c r="AJ50" s="51" t="str">
        <f>IF(AND(YEAR(DecSun1+37)=$A$1,MONTH(DecSun1+37)=12),DecSun1+37,"")</f>
        <v/>
      </c>
      <c r="AK50" s="51" t="str">
        <f>IF(AND(YEAR(DecSun1+38)=$A$1,MONTH(DecSun1+38)=12),DecSun1+38,"")</f>
        <v/>
      </c>
      <c r="AL50" s="51" t="str">
        <f>IF(AND(YEAR(DecSun1+39)=$A$1,MONTH(DecSun1+39)=12),DecSun1+39,"")</f>
        <v/>
      </c>
      <c r="AM50" s="51" t="str">
        <f>IF(AND(YEAR(DecSun1+40)=$A$1,MONTH(DecSun1+40)=12),DecSun1+40,"")</f>
        <v/>
      </c>
      <c r="AN50" s="51" t="str">
        <f>IF(AND(YEAR(DecSun1+41)=$A$1,MONTH(DecSun1+41)=12),DecSun1+41,"")</f>
        <v/>
      </c>
      <c r="AO50" s="44"/>
    </row>
    <row r="51" spans="3:41" ht="12.75">
      <c r="C51" s="74"/>
      <c r="D51" s="53"/>
      <c r="E51" s="53"/>
      <c r="F51" s="53"/>
      <c r="G51" s="53"/>
      <c r="H51" s="53"/>
      <c r="I51" s="53"/>
      <c r="J51" s="53"/>
      <c r="K51" s="55" t="s">
        <v>21</v>
      </c>
      <c r="L51" s="16"/>
      <c r="M51" s="74"/>
      <c r="N51" s="53"/>
      <c r="O51" s="53"/>
      <c r="P51" s="53"/>
      <c r="Q51" s="53"/>
      <c r="R51" s="53"/>
      <c r="S51" s="53"/>
      <c r="T51" s="53"/>
      <c r="U51" s="55" t="s">
        <v>21</v>
      </c>
      <c r="V51" s="16"/>
      <c r="W51" s="74"/>
      <c r="X51" s="53"/>
      <c r="Y51" s="53"/>
      <c r="Z51" s="53"/>
      <c r="AA51" s="53"/>
      <c r="AB51" s="53"/>
      <c r="AC51" s="53"/>
      <c r="AD51" s="53"/>
      <c r="AE51" s="55" t="s">
        <v>21</v>
      </c>
      <c r="AF51" s="16"/>
      <c r="AG51" s="62"/>
      <c r="AH51" s="53"/>
      <c r="AI51" s="53"/>
      <c r="AJ51" s="53"/>
      <c r="AK51" s="53"/>
      <c r="AL51" s="53"/>
      <c r="AM51" s="53"/>
      <c r="AN51" s="53"/>
      <c r="AO51" s="55" t="s">
        <v>21</v>
      </c>
    </row>
    <row r="52" spans="3:41" ht="15.75" customHeight="1" thickBot="1">
      <c r="C52" s="65" t="s">
        <v>35</v>
      </c>
      <c r="D52" s="110">
        <f>COUNTIF(D43:J43,"AC")+COUNTIF(D45:J45,"AC")+COUNTIF(D47:J47,"AC")+COUNTIF(D49:J49,"AC")+COUNTIF(D51:J51,"AC")+COUNTIF(D41:J41,"AC")</f>
        <v>0</v>
      </c>
      <c r="E52" s="111" t="s">
        <v>2</v>
      </c>
      <c r="F52" s="110">
        <f>COUNTIF(D43:J43,"T")+COUNTIF(D45:J45,"T")+COUNTIF(D47:J47,"T")+COUNTIF(D49:J49,"T")+COUNTIF(D51:J51,"T")+COUNTIF(D41:J41,"T")</f>
        <v>0</v>
      </c>
      <c r="G52" s="111" t="s">
        <v>20</v>
      </c>
      <c r="H52" s="110">
        <f>COUNTIF(D43:J43,"MP")+COUNTIF(D45:J45,"MP")+COUNTIF(D47:J47,"MP")+COUNTIF(D49:J49,"MP")+COUNTIF(D51:J51,"MP")+COUNTIF(D41:J41,"MP")</f>
        <v>0</v>
      </c>
      <c r="I52" s="111" t="s">
        <v>22</v>
      </c>
      <c r="J52" s="110">
        <f>COUNTIF(D43:J43,"A")+COUNTIF(D45:J45,"A")+COUNTIF(D47:J47,"A")+COUNTIF(D49:J49,"A")+COUNTIF(D51:J51,"A")+COUNTIF(D41:J41,"A")</f>
        <v>0</v>
      </c>
      <c r="K52" s="54">
        <f>SUM((F52*0.5)+(H52*0.5)+(J52))</f>
        <v>0</v>
      </c>
      <c r="L52" s="85"/>
      <c r="M52" s="65" t="s">
        <v>35</v>
      </c>
      <c r="N52" s="110">
        <f>COUNTIF(N43:T43,"AC")+COUNTIF(N45:T45,"AC")+COUNTIF(N47:T47,"AC")+COUNTIF(N49:T49,"AC")+COUNTIF(N51:T51,"AC")+COUNTIF(N41:T41,"AC")</f>
        <v>0</v>
      </c>
      <c r="O52" s="111" t="s">
        <v>2</v>
      </c>
      <c r="P52" s="110">
        <f>COUNTIF(N43:T43,"T")+COUNTIF(N45:T45,"T")+COUNTIF(N47:T47,"T")+COUNTIF(N49:T49,"T")+COUNTIF(N51:T51,"T")+COUNTIF(N41:T41,"T")</f>
        <v>0</v>
      </c>
      <c r="Q52" s="111" t="s">
        <v>20</v>
      </c>
      <c r="R52" s="110">
        <f>COUNTIF(N43:T43,"MP")+COUNTIF(N45:T45,"MP")+COUNTIF(N47:T47,"MP")+COUNTIF(N49:T49,"MP")+COUNTIF(N51:T51,"MP")+COUNTIF(N41:T41,"MP")</f>
        <v>0</v>
      </c>
      <c r="S52" s="111" t="s">
        <v>22</v>
      </c>
      <c r="T52" s="110">
        <f>COUNTIF(N43:T43,"A")+COUNTIF(N45:T45,"A")+COUNTIF(N47:T47,"A")+COUNTIF(N49:T49,"A")+COUNTIF(N51:T51,"A")+COUNTIF(N41:T41,"A")</f>
        <v>0</v>
      </c>
      <c r="U52" s="54">
        <f>SUM((P52*0.5)+(R52*0.5)+(T52))</f>
        <v>0</v>
      </c>
      <c r="V52" s="85"/>
      <c r="W52" s="65" t="s">
        <v>35</v>
      </c>
      <c r="X52" s="110">
        <f>COUNTIF(X43:AD43,"AC")+COUNTIF(X45:AD45,"AC")+COUNTIF(X47:AD47,"AC")+COUNTIF(X49:AD49,"AC")+COUNTIF(X51:AD51,"AC")+COUNTIF(X41:AD41,"AC")</f>
        <v>0</v>
      </c>
      <c r="Y52" s="111" t="s">
        <v>2</v>
      </c>
      <c r="Z52" s="110">
        <f>COUNTIF(X43:AD43,"T")+COUNTIF(X45:AD45,"T")+COUNTIF(X47:AD47,"T")+COUNTIF(X49:AD49,"T")+COUNTIF(X51:AD51,"T")+COUNTIF(X41:AD41,"T")</f>
        <v>0</v>
      </c>
      <c r="AA52" s="111" t="s">
        <v>20</v>
      </c>
      <c r="AB52" s="110">
        <f>COUNTIF(X43:AD43,"MP")+COUNTIF(X45:AD45,"MP")+COUNTIF(X47:AD47,"MP")+COUNTIF(X49:AD49,"MP")+COUNTIF(X51:AD51,"MP")+COUNTIF(X41:AD41,"MP")</f>
        <v>0</v>
      </c>
      <c r="AC52" s="111" t="s">
        <v>22</v>
      </c>
      <c r="AD52" s="110">
        <f>COUNTIF(X43:AD43,"A")+COUNTIF(X45:AD45,"A")+COUNTIF(X47:AD47,"A")+COUNTIF(X49:AD49,"A")+COUNTIF(X51:AD51,"A")+COUNTIF(X41:AD41,"A")</f>
        <v>0</v>
      </c>
      <c r="AE52" s="54">
        <f>SUM((Z52*0.5)+(AB52*0.5)+(AD52))</f>
        <v>0</v>
      </c>
      <c r="AF52" s="85"/>
      <c r="AG52" s="65" t="s">
        <v>35</v>
      </c>
      <c r="AH52" s="110">
        <f>COUNTIF(AH43:AN43,"AC")+COUNTIF(AH45:AN45,"AC")+COUNTIF(AH47:AN47,"AC")+COUNTIF(AH49:AN49,"AC")+COUNTIF(AH51:AN51,"AC")+COUNTIF(AH41:AN41,"AC")</f>
        <v>0</v>
      </c>
      <c r="AI52" s="111" t="s">
        <v>2</v>
      </c>
      <c r="AJ52" s="110">
        <f>COUNTIF(AH43:AN43,"T")+COUNTIF(AH45:AN45,"T")+COUNTIF(AH47:AN47,"T")+COUNTIF(AH49:AN49,"T")+COUNTIF(AH51:AN51,"T")+COUNTIF(AH41:AN41,"T")</f>
        <v>0</v>
      </c>
      <c r="AK52" s="111" t="s">
        <v>20</v>
      </c>
      <c r="AL52" s="110">
        <f>COUNTIF(AH43:AN43,"MP")+COUNTIF(AH45:AN45,"MP")+COUNTIF(AH47:AN47,"MP")+COUNTIF(AH49:AN49,"MP")+COUNTIF(AH51:AN51,"MP")+COUNTIF(AH41:AN41,"MP")</f>
        <v>0</v>
      </c>
      <c r="AM52" s="111" t="s">
        <v>22</v>
      </c>
      <c r="AN52" s="110">
        <f>COUNTIF(AH43:AN43,"A")+COUNTIF(AH45:AN45,"A")+COUNTIF(AH47:AN47,"A")+COUNTIF(AH49:AN49,"A")+COUNTIF(AH51:AN51,"A")+COUNTIF(AH41:AN41,"A")</f>
        <v>0</v>
      </c>
      <c r="AO52" s="54">
        <f>SUM((AJ52*0.5)+(AL52*0.5)+(AN52))</f>
        <v>0</v>
      </c>
    </row>
    <row r="53" spans="3:40" ht="15.75" thickTop="1">
      <c r="C53" s="75"/>
      <c r="D53" s="75"/>
      <c r="E53" s="75"/>
      <c r="F53" s="75"/>
      <c r="G53" s="75"/>
      <c r="H53" s="75"/>
      <c r="I53" s="75"/>
      <c r="J53" s="75"/>
      <c r="K53" s="118"/>
      <c r="L53" s="119"/>
      <c r="N53" s="75"/>
      <c r="O53" s="75"/>
      <c r="P53" s="75"/>
      <c r="Q53" s="75"/>
      <c r="R53" s="75"/>
      <c r="S53" s="75"/>
      <c r="T53" s="75"/>
      <c r="U53" s="118"/>
      <c r="V53" s="119"/>
      <c r="X53" s="75"/>
      <c r="Y53" s="75"/>
      <c r="Z53" s="75"/>
      <c r="AA53" s="75"/>
      <c r="AB53" s="75"/>
      <c r="AC53" s="75"/>
      <c r="AD53" s="75"/>
      <c r="AE53" s="118"/>
      <c r="AF53" s="119"/>
      <c r="AH53" s="75"/>
      <c r="AI53" s="75"/>
      <c r="AJ53" s="75"/>
      <c r="AK53" s="75"/>
      <c r="AL53" s="75"/>
      <c r="AM53" s="75"/>
      <c r="AN53" s="75"/>
    </row>
    <row r="54" spans="3:40" ht="15.75" customHeight="1">
      <c r="C54" s="75"/>
      <c r="D54" s="75"/>
      <c r="E54" s="75"/>
      <c r="F54" s="75"/>
      <c r="G54" s="75"/>
      <c r="H54" s="75"/>
      <c r="I54" s="75"/>
      <c r="J54" s="75"/>
      <c r="K54" s="118"/>
      <c r="L54" s="119"/>
      <c r="N54" s="75"/>
      <c r="O54" s="75"/>
      <c r="P54" s="75"/>
      <c r="Q54" s="75"/>
      <c r="R54" s="75"/>
      <c r="S54" s="75"/>
      <c r="T54" s="75"/>
      <c r="U54" s="118"/>
      <c r="V54" s="119"/>
      <c r="X54" s="75"/>
      <c r="Y54" s="75"/>
      <c r="Z54" s="75"/>
      <c r="AA54" s="75"/>
      <c r="AB54" s="75"/>
      <c r="AC54" s="75"/>
      <c r="AD54" s="75"/>
      <c r="AE54" s="118"/>
      <c r="AF54" s="119"/>
      <c r="AH54" s="75"/>
      <c r="AI54" s="75"/>
      <c r="AJ54" s="75"/>
      <c r="AK54" s="75"/>
      <c r="AL54" s="75"/>
      <c r="AM54" s="75"/>
      <c r="AN54" s="75"/>
    </row>
    <row r="55" spans="3:40" ht="12.75">
      <c r="C55" s="75"/>
      <c r="D55" s="75"/>
      <c r="E55" s="75"/>
      <c r="F55" s="75"/>
      <c r="G55" s="75"/>
      <c r="H55" s="75"/>
      <c r="I55" s="75"/>
      <c r="J55" s="75"/>
      <c r="K55" s="118"/>
      <c r="L55" s="119"/>
      <c r="N55" s="75"/>
      <c r="O55" s="75"/>
      <c r="P55" s="75"/>
      <c r="Q55" s="75"/>
      <c r="R55" s="75"/>
      <c r="S55" s="75"/>
      <c r="T55" s="75"/>
      <c r="U55" s="118"/>
      <c r="V55" s="119"/>
      <c r="X55" s="75"/>
      <c r="Y55" s="75"/>
      <c r="Z55" s="75"/>
      <c r="AA55" s="75"/>
      <c r="AB55" s="75"/>
      <c r="AC55" s="75"/>
      <c r="AD55" s="75"/>
      <c r="AE55" s="118"/>
      <c r="AF55" s="119"/>
      <c r="AH55" s="75"/>
      <c r="AI55" s="75"/>
      <c r="AJ55" s="75"/>
      <c r="AK55" s="75"/>
      <c r="AL55" s="75"/>
      <c r="AM55" s="75"/>
      <c r="AN55" s="75"/>
    </row>
    <row r="56" spans="3:40" ht="12.75">
      <c r="C56" s="75"/>
      <c r="D56" s="75"/>
      <c r="E56" s="75"/>
      <c r="F56" s="75"/>
      <c r="G56" s="75"/>
      <c r="H56" s="75"/>
      <c r="I56" s="75"/>
      <c r="J56" s="75"/>
      <c r="K56" s="118"/>
      <c r="L56" s="119"/>
      <c r="N56" s="75"/>
      <c r="O56" s="75"/>
      <c r="P56" s="75"/>
      <c r="Q56" s="75"/>
      <c r="R56" s="75"/>
      <c r="S56" s="75"/>
      <c r="T56" s="75"/>
      <c r="U56" s="118"/>
      <c r="V56" s="119"/>
      <c r="X56" s="75"/>
      <c r="Y56" s="75"/>
      <c r="Z56" s="75"/>
      <c r="AA56" s="75"/>
      <c r="AB56" s="75"/>
      <c r="AC56" s="75"/>
      <c r="AD56" s="75"/>
      <c r="AE56" s="118"/>
      <c r="AF56" s="119"/>
      <c r="AH56" s="75"/>
      <c r="AI56" s="75"/>
      <c r="AJ56" s="75"/>
      <c r="AK56" s="75"/>
      <c r="AL56" s="75"/>
      <c r="AM56" s="75"/>
      <c r="AN56" s="75"/>
    </row>
  </sheetData>
  <sheetProtection algorithmName="SHA-512" hashValue="TPtOs3Zev11vTP/s4QjskQI9OEUuN5Gz6rtHbCZsZXHqAcN+I2RQ3R4ZWDcbRvBYbB8eNEJhYlfBR2OTeMFsLg==" saltValue="CnNzNQosGULQNQGcqQyMZQ==" spinCount="100000" sheet="1" objects="1" scenarios="1" selectLockedCells="1"/>
  <mergeCells count="25">
    <mergeCell ref="AT18:AU18"/>
    <mergeCell ref="I1:T1"/>
    <mergeCell ref="AD1:AN1"/>
    <mergeCell ref="D4:J4"/>
    <mergeCell ref="N4:T4"/>
    <mergeCell ref="X4:AD4"/>
    <mergeCell ref="AH4:AN4"/>
    <mergeCell ref="AT12:AU12"/>
    <mergeCell ref="AT13:AU13"/>
    <mergeCell ref="AT14:AU14"/>
    <mergeCell ref="AT15:AU15"/>
    <mergeCell ref="AT17:AU17"/>
    <mergeCell ref="AT19:AU19"/>
    <mergeCell ref="AT20:AU20"/>
    <mergeCell ref="D21:J21"/>
    <mergeCell ref="N21:T21"/>
    <mergeCell ref="X21:AD21"/>
    <mergeCell ref="AH21:AN21"/>
    <mergeCell ref="AT25:AU25"/>
    <mergeCell ref="AT26:AU26"/>
    <mergeCell ref="AT27:AU27"/>
    <mergeCell ref="D38:J38"/>
    <mergeCell ref="N38:T38"/>
    <mergeCell ref="X38:AD38"/>
    <mergeCell ref="AH38:AN38"/>
  </mergeCells>
  <conditionalFormatting sqref="AW10">
    <cfRule type="cellIs" priority="12" dxfId="3" operator="greaterThanOrEqual">
      <formula>10</formula>
    </cfRule>
    <cfRule type="cellIs" priority="13" dxfId="2" operator="between">
      <formula>8</formula>
      <formula>9.5</formula>
    </cfRule>
    <cfRule type="cellIs" priority="14" dxfId="12" operator="between">
      <formula>6</formula>
      <formula>7.5</formula>
    </cfRule>
    <cfRule type="cellIs" priority="15" dxfId="11" operator="between">
      <formula>4</formula>
      <formula>5.5</formula>
    </cfRule>
  </conditionalFormatting>
  <conditionalFormatting sqref="AR19">
    <cfRule type="cellIs" priority="8" dxfId="3" operator="greaterThanOrEqual">
      <formula>15</formula>
    </cfRule>
    <cfRule type="cellIs" priority="9" dxfId="2" operator="between">
      <formula>12</formula>
      <formula>14.5</formula>
    </cfRule>
    <cfRule type="cellIs" priority="10" dxfId="1" operator="between">
      <formula>9</formula>
      <formula>11.5</formula>
    </cfRule>
    <cfRule type="cellIs" priority="11" dxfId="0" operator="between">
      <formula>6</formula>
      <formula>8.5</formula>
    </cfRule>
  </conditionalFormatting>
  <conditionalFormatting sqref="AR26">
    <cfRule type="cellIs" priority="5" dxfId="3" operator="equal">
      <formula>$AS$27</formula>
    </cfRule>
    <cfRule type="cellIs" priority="6" dxfId="2" operator="equal">
      <formula>$AS$26</formula>
    </cfRule>
    <cfRule type="cellIs" priority="7" dxfId="1" operator="equal">
      <formula>$AS$25</formula>
    </cfRule>
  </conditionalFormatting>
  <conditionalFormatting sqref="AR13">
    <cfRule type="cellIs" priority="1" dxfId="3" operator="greaterThanOrEqual">
      <formula>10</formula>
    </cfRule>
    <cfRule type="cellIs" priority="2" dxfId="2" operator="between">
      <formula>8</formula>
      <formula>9.5</formula>
    </cfRule>
    <cfRule type="cellIs" priority="3" dxfId="1" operator="between">
      <formula>6</formula>
      <formula>7.5</formula>
    </cfRule>
    <cfRule type="cellIs" priority="4" dxfId="0" operator="between">
      <formula>4</formula>
      <formula>5.5</formula>
    </cfRule>
  </conditionalFormatting>
  <dataValidations count="5">
    <dataValidation type="list" allowBlank="1" showInputMessage="1" showErrorMessage="1" sqref="A12:B12">
      <formula1>$AZ$4:$AZ$34</formula1>
    </dataValidation>
    <dataValidation type="list" allowBlank="1" showInputMessage="1" showErrorMessage="1" sqref="AH15:AN15 AH13:AN13 X17:AD17 D9:J9 D11:J11 D13:J13 N24:T24 D24:J24 D26:J26 D32:J32 D30:J30 D41:J41 D43:J43 D45:J45 D47:J47 D51:J51 N51:T51 D49:J49 N49:T49 N47:T47 N45:T45 N43:T43 X34:AD34 N30:T30 N28:T28 N26:T26 N13:T13 N11:T11 N9:T9 N7:T7 D15:J15 X9:AD9 X11:AD11 X13:AD13 X15:AC15 D7:J7 AH24:AN24 X24:AD24 X26:AD26 X32:AD32 N41:T41 X41:AD41 X43:AD43 X45:AD45 X47:AD47 AH47:AN47 AH45:AN45 AH43:AN43 AH41:AN41 X49:AD49 AH34:AN34 AH30:AN30 AH28:AN28 AH26:AN26 AH17:AN17 AH11:AN11 AH9:AN9 AH7:AN7 X7:AD7 X51:AD51 AH51:AN51 N17:T17 D28:J28 N34:T34 N32:T32 X28:AD28 X30:AD30 D17:J17 AH32:AN32 N15:T15 AH49:AN49">
      <formula1>$AS$5:$AX$5</formula1>
    </dataValidation>
    <dataValidation type="list" allowBlank="1" showInputMessage="1" showErrorMessage="1" sqref="A7:B7">
      <formula1>$AZ$4:$AZ$24</formula1>
    </dataValidation>
    <dataValidation type="list" allowBlank="1" showInputMessage="1" showErrorMessage="1" sqref="K7:L7 K9:L9 K11:L11 K13:L13">
      <formula1>$AS$5:$AU$5</formula1>
    </dataValidation>
    <dataValidation type="whole" allowBlank="1" showInputMessage="1" showErrorMessage="1" sqref="A1:C3">
      <formula1>1900</formula1>
      <formula2>9999</formula2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scale="5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showGridLines="0" workbookViewId="0" topLeftCell="A1">
      <selection activeCell="D9" sqref="D9"/>
    </sheetView>
  </sheetViews>
  <sheetFormatPr defaultColWidth="9.140625" defaultRowHeight="12.75"/>
  <cols>
    <col min="1" max="1" width="15.421875" style="2" bestFit="1" customWidth="1"/>
    <col min="2" max="2" width="1.7109375" style="73" customWidth="1"/>
    <col min="3" max="5" width="3.7109375" style="2" customWidth="1"/>
    <col min="6" max="6" width="3.57421875" style="2" customWidth="1"/>
    <col min="7" max="10" width="3.7109375" style="2" customWidth="1"/>
    <col min="11" max="11" width="5.7109375" style="72" customWidth="1"/>
    <col min="12" max="12" width="1.7109375" style="73" customWidth="1"/>
    <col min="13" max="20" width="3.7109375" style="2" customWidth="1"/>
    <col min="21" max="21" width="5.7109375" style="72" customWidth="1"/>
    <col min="22" max="22" width="1.7109375" style="73" customWidth="1"/>
    <col min="23" max="30" width="3.7109375" style="2" customWidth="1"/>
    <col min="31" max="31" width="5.7109375" style="72" customWidth="1"/>
    <col min="32" max="32" width="1.7109375" style="73" customWidth="1"/>
    <col min="33" max="40" width="3.7109375" style="2" customWidth="1"/>
    <col min="41" max="41" width="5.7109375" style="42" customWidth="1"/>
    <col min="42" max="42" width="1.7109375" style="2" customWidth="1"/>
    <col min="43" max="43" width="3.7109375" style="2" customWidth="1"/>
    <col min="44" max="44" width="17.421875" style="2" customWidth="1"/>
    <col min="45" max="45" width="9.00390625" style="2" customWidth="1"/>
    <col min="46" max="46" width="6.421875" style="2" customWidth="1"/>
    <col min="47" max="47" width="7.7109375" style="2" customWidth="1"/>
    <col min="48" max="48" width="14.28125" style="2" customWidth="1"/>
    <col min="49" max="49" width="9.140625" style="2" customWidth="1"/>
    <col min="50" max="50" width="9.8515625" style="2" customWidth="1"/>
    <col min="51" max="51" width="9.140625" style="2" customWidth="1"/>
    <col min="52" max="52" width="9.140625" style="2" hidden="1" customWidth="1"/>
    <col min="53" max="16384" width="9.140625" style="2" customWidth="1"/>
  </cols>
  <sheetData>
    <row r="1" spans="1:40" ht="26.25">
      <c r="A1" s="92">
        <v>2017</v>
      </c>
      <c r="B1" s="56"/>
      <c r="D1" s="93"/>
      <c r="E1" s="93"/>
      <c r="F1" s="94" t="s">
        <v>25</v>
      </c>
      <c r="G1" s="95"/>
      <c r="H1" s="95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98"/>
      <c r="V1" s="89"/>
      <c r="W1" s="93"/>
      <c r="X1" s="93"/>
      <c r="Y1" s="94" t="s">
        <v>41</v>
      </c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</row>
    <row r="2" spans="1:40" ht="5.25" customHeight="1" thickBot="1">
      <c r="A2" s="92"/>
      <c r="B2" s="56"/>
      <c r="D2" s="93"/>
      <c r="E2" s="93"/>
      <c r="F2" s="94"/>
      <c r="G2" s="95"/>
      <c r="H2" s="95"/>
      <c r="I2" s="96"/>
      <c r="J2" s="96"/>
      <c r="K2" s="97"/>
      <c r="L2" s="97"/>
      <c r="M2" s="97"/>
      <c r="N2" s="96"/>
      <c r="O2" s="96"/>
      <c r="P2" s="96"/>
      <c r="Q2" s="96"/>
      <c r="R2" s="96"/>
      <c r="S2" s="96"/>
      <c r="T2" s="96"/>
      <c r="U2" s="98"/>
      <c r="V2" s="89"/>
      <c r="W2" s="93"/>
      <c r="X2" s="93"/>
      <c r="Y2" s="94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50" ht="15.95" customHeight="1" thickTop="1">
      <c r="A3" s="92"/>
      <c r="B3" s="56"/>
      <c r="C3" s="57"/>
      <c r="D3" s="100"/>
      <c r="E3" s="100"/>
      <c r="F3" s="101"/>
      <c r="G3" s="100"/>
      <c r="H3" s="100"/>
      <c r="I3" s="102"/>
      <c r="J3" s="102"/>
      <c r="K3" s="76"/>
      <c r="L3" s="77"/>
      <c r="M3" s="78"/>
      <c r="N3" s="102"/>
      <c r="O3" s="102"/>
      <c r="P3" s="102"/>
      <c r="Q3" s="102"/>
      <c r="R3" s="102"/>
      <c r="S3" s="102"/>
      <c r="T3" s="102"/>
      <c r="U3" s="76"/>
      <c r="V3" s="89"/>
      <c r="W3" s="78"/>
      <c r="X3" s="100"/>
      <c r="Y3" s="100"/>
      <c r="Z3" s="103"/>
      <c r="AA3" s="103"/>
      <c r="AB3" s="103"/>
      <c r="AC3" s="103"/>
      <c r="AD3" s="103"/>
      <c r="AE3" s="90"/>
      <c r="AG3" s="57"/>
      <c r="AH3" s="103"/>
      <c r="AI3" s="103"/>
      <c r="AJ3" s="103"/>
      <c r="AK3" s="103"/>
      <c r="AL3" s="103"/>
      <c r="AM3" s="103"/>
      <c r="AN3" s="103"/>
      <c r="AO3" s="104"/>
      <c r="AR3" s="35" t="s">
        <v>34</v>
      </c>
      <c r="AS3" s="35" t="s">
        <v>47</v>
      </c>
      <c r="AT3" s="35"/>
      <c r="AU3" s="37"/>
      <c r="AV3" s="37" t="s">
        <v>19</v>
      </c>
      <c r="AW3" s="35"/>
      <c r="AX3" s="35" t="s">
        <v>49</v>
      </c>
    </row>
    <row r="4" spans="1:52" ht="15.95" customHeight="1">
      <c r="A4" s="105" t="s">
        <v>24</v>
      </c>
      <c r="B4" s="58"/>
      <c r="C4" s="59"/>
      <c r="D4" s="136" t="s">
        <v>5</v>
      </c>
      <c r="E4" s="137"/>
      <c r="F4" s="137"/>
      <c r="G4" s="137"/>
      <c r="H4" s="137"/>
      <c r="I4" s="138"/>
      <c r="J4" s="139"/>
      <c r="K4" s="79"/>
      <c r="L4" s="80"/>
      <c r="M4" s="59"/>
      <c r="N4" s="140" t="s">
        <v>8</v>
      </c>
      <c r="O4" s="138"/>
      <c r="P4" s="138"/>
      <c r="Q4" s="138"/>
      <c r="R4" s="138"/>
      <c r="S4" s="138"/>
      <c r="T4" s="139"/>
      <c r="U4" s="79"/>
      <c r="V4" s="80"/>
      <c r="W4" s="59"/>
      <c r="X4" s="136" t="s">
        <v>11</v>
      </c>
      <c r="Y4" s="137"/>
      <c r="Z4" s="137"/>
      <c r="AA4" s="137"/>
      <c r="AB4" s="137"/>
      <c r="AC4" s="137"/>
      <c r="AD4" s="143"/>
      <c r="AE4" s="79"/>
      <c r="AF4" s="80"/>
      <c r="AG4" s="59"/>
      <c r="AH4" s="136" t="s">
        <v>13</v>
      </c>
      <c r="AI4" s="137"/>
      <c r="AJ4" s="137"/>
      <c r="AK4" s="137"/>
      <c r="AL4" s="137"/>
      <c r="AM4" s="137"/>
      <c r="AN4" s="143"/>
      <c r="AO4" s="43"/>
      <c r="AR4" s="36"/>
      <c r="AS4" s="36" t="s">
        <v>46</v>
      </c>
      <c r="AT4" s="36" t="s">
        <v>18</v>
      </c>
      <c r="AU4" s="38" t="s">
        <v>19</v>
      </c>
      <c r="AV4" s="38" t="s">
        <v>48</v>
      </c>
      <c r="AW4" s="36" t="s">
        <v>26</v>
      </c>
      <c r="AX4" s="36" t="s">
        <v>50</v>
      </c>
      <c r="AZ4" s="18">
        <v>0</v>
      </c>
    </row>
    <row r="5" spans="1:52" s="3" customFormat="1" ht="15.95" customHeight="1">
      <c r="A5" s="106" t="s">
        <v>36</v>
      </c>
      <c r="B5" s="58"/>
      <c r="C5" s="60"/>
      <c r="D5" s="107" t="s">
        <v>0</v>
      </c>
      <c r="E5" s="107" t="s">
        <v>1</v>
      </c>
      <c r="F5" s="107" t="s">
        <v>2</v>
      </c>
      <c r="G5" s="107" t="s">
        <v>3</v>
      </c>
      <c r="H5" s="107" t="s">
        <v>2</v>
      </c>
      <c r="I5" s="107" t="s">
        <v>4</v>
      </c>
      <c r="J5" s="107" t="s">
        <v>0</v>
      </c>
      <c r="K5" s="81"/>
      <c r="L5" s="82"/>
      <c r="M5" s="60"/>
      <c r="N5" s="107" t="s">
        <v>0</v>
      </c>
      <c r="O5" s="107" t="s">
        <v>1</v>
      </c>
      <c r="P5" s="107" t="s">
        <v>2</v>
      </c>
      <c r="Q5" s="107" t="s">
        <v>3</v>
      </c>
      <c r="R5" s="107" t="s">
        <v>2</v>
      </c>
      <c r="S5" s="107" t="s">
        <v>4</v>
      </c>
      <c r="T5" s="107" t="s">
        <v>0</v>
      </c>
      <c r="U5" s="81"/>
      <c r="V5" s="82"/>
      <c r="W5" s="60"/>
      <c r="X5" s="107" t="s">
        <v>0</v>
      </c>
      <c r="Y5" s="107" t="s">
        <v>1</v>
      </c>
      <c r="Z5" s="107" t="s">
        <v>2</v>
      </c>
      <c r="AA5" s="107" t="s">
        <v>3</v>
      </c>
      <c r="AB5" s="107" t="s">
        <v>2</v>
      </c>
      <c r="AC5" s="107" t="s">
        <v>4</v>
      </c>
      <c r="AD5" s="107" t="s">
        <v>0</v>
      </c>
      <c r="AE5" s="81"/>
      <c r="AF5" s="82"/>
      <c r="AG5" s="60"/>
      <c r="AH5" s="107" t="s">
        <v>0</v>
      </c>
      <c r="AI5" s="107" t="s">
        <v>1</v>
      </c>
      <c r="AJ5" s="107" t="s">
        <v>2</v>
      </c>
      <c r="AK5" s="107" t="s">
        <v>3</v>
      </c>
      <c r="AL5" s="107" t="s">
        <v>2</v>
      </c>
      <c r="AM5" s="107" t="s">
        <v>4</v>
      </c>
      <c r="AN5" s="107" t="s">
        <v>0</v>
      </c>
      <c r="AO5" s="44"/>
      <c r="AR5" s="19" t="s">
        <v>33</v>
      </c>
      <c r="AS5" s="4" t="s">
        <v>20</v>
      </c>
      <c r="AT5" s="4" t="s">
        <v>2</v>
      </c>
      <c r="AU5" s="4" t="s">
        <v>22</v>
      </c>
      <c r="AV5" s="4" t="s">
        <v>35</v>
      </c>
      <c r="AW5" s="4" t="s">
        <v>31</v>
      </c>
      <c r="AX5" s="4" t="s">
        <v>39</v>
      </c>
      <c r="AZ5" s="6">
        <v>0.5</v>
      </c>
    </row>
    <row r="6" spans="1:52" s="3" customFormat="1" ht="15.95" customHeight="1">
      <c r="A6" s="108" t="s">
        <v>45</v>
      </c>
      <c r="B6" s="58"/>
      <c r="C6" s="60"/>
      <c r="D6" s="51" t="str">
        <f>IF(AND(YEAR(JanSun1)=$A$1,MONTH(JanSun1)=1),JanSun1,"")</f>
        <v/>
      </c>
      <c r="E6" s="51" t="str">
        <f>IF(AND(YEAR(JanSun1+1)=$A$1,MONTH(JanSun1+1)=1),JanSun1+1,"")</f>
        <v/>
      </c>
      <c r="F6" s="51" t="str">
        <f>IF(AND(YEAR(JanSun1+2)=$A$1,MONTH(JanSun1+2)=1),JanSun1+2,"")</f>
        <v/>
      </c>
      <c r="G6" s="51" t="str">
        <f>IF(AND(YEAR(JanSun1+3)=$A$1,MONTH(JanSun1+3)=1),JanSun1+3,"")</f>
        <v/>
      </c>
      <c r="H6" s="51" t="str">
        <f>IF(AND(YEAR(JanSun1+4)=$A$1,MONTH(JanSun1+4)=1),JanSun1+4,"")</f>
        <v/>
      </c>
      <c r="I6" s="51">
        <f>IF(AND(YEAR(JanSun1+5)=$A$1,MONTH(JanSun1+5)=1),JanSun1+5,"")</f>
        <v>42370</v>
      </c>
      <c r="J6" s="51">
        <f>IF(AND(YEAR(JanSun1+6)=$A$1,MONTH(JanSun1+6)=1),JanSun1+6,"")</f>
        <v>42371</v>
      </c>
      <c r="K6" s="49"/>
      <c r="L6" s="16"/>
      <c r="M6" s="60"/>
      <c r="N6" s="51" t="str">
        <f>IF(AND(YEAR(AprSun1)=$A$1,MONTH(AprSun1)=4),AprSun1,"")</f>
        <v/>
      </c>
      <c r="O6" s="51" t="str">
        <f>IF(AND(YEAR(AprSun1+1)=$A$1,MONTH(AprSun1+1)=4),AprSun1+1,"")</f>
        <v/>
      </c>
      <c r="P6" s="51" t="str">
        <f>IF(AND(YEAR(AprSun1+2)=$A$1,MONTH(AprSun1+2)=4),AprSun1+2,"")</f>
        <v/>
      </c>
      <c r="Q6" s="51" t="str">
        <f>IF(AND(YEAR(AprSun1+3)=$A$1,MONTH(AprSun1+3)=4),AprSun1+3,"")</f>
        <v/>
      </c>
      <c r="R6" s="51" t="str">
        <f>IF(AND(YEAR(AprSun1+4)=$A$1,MONTH(AprSun1+4)=4),AprSun1+4,"")</f>
        <v/>
      </c>
      <c r="S6" s="51">
        <f>IF(AND(YEAR(AprSun1+5)=$A$1,MONTH(AprSun1+5)=4),AprSun1+5,"")</f>
        <v>42461</v>
      </c>
      <c r="T6" s="51">
        <f>IF(AND(YEAR(AprSun1+6)=$A$1,MONTH(AprSun1+6)=4),AprSun1+6,"")</f>
        <v>42462</v>
      </c>
      <c r="U6" s="49"/>
      <c r="V6" s="16"/>
      <c r="W6" s="60"/>
      <c r="X6" s="51" t="str">
        <f>IF(AND(YEAR(JulSun1)=$A$1,MONTH(JulSun1)=7),JulSun1,"")</f>
        <v/>
      </c>
      <c r="Y6" s="51" t="str">
        <f>IF(AND(YEAR(JulSun1+1)=$A$1,MONTH(JulSun1+1)=7),JulSun1+1,"")</f>
        <v/>
      </c>
      <c r="Z6" s="51" t="str">
        <f>IF(AND(YEAR(JulSun1+2)=$A$1,MONTH(JulSun1+2)=7),JulSun1+2,"")</f>
        <v/>
      </c>
      <c r="AA6" s="51" t="str">
        <f>IF(AND(YEAR(JulSun1+3)=$A$1,MONTH(JulSun1+3)=7),JulSun1+3,"")</f>
        <v/>
      </c>
      <c r="AB6" s="51" t="str">
        <f>IF(AND(YEAR(JulSun1+4)=$A$1,MONTH(JulSun1+4)=7),JulSun1+4,"")</f>
        <v/>
      </c>
      <c r="AC6" s="51">
        <f>IF(AND(YEAR(JulSun1+5)=$A$1,MONTH(JulSun1+5)=7),JulSun1+5,"")</f>
        <v>42552</v>
      </c>
      <c r="AD6" s="51">
        <f>IF(AND(YEAR(JulSun1+6)=$A$1,MONTH(JulSun1+6)=7),JulSun1+6,"")</f>
        <v>42553</v>
      </c>
      <c r="AE6" s="49"/>
      <c r="AF6" s="16"/>
      <c r="AG6" s="60"/>
      <c r="AH6" s="51" t="str">
        <f>IF(AND(YEAR(OctSun1)=$A$1,MONTH(OctSun1)=10),OctSun1,"")</f>
        <v/>
      </c>
      <c r="AI6" s="51" t="str">
        <f>IF(AND(YEAR(OctSun1+1)=$A$1,MONTH(OctSun1+1)=10),OctSun1+1,"")</f>
        <v/>
      </c>
      <c r="AJ6" s="51" t="str">
        <f>IF(AND(YEAR(OctSun1+2)=$A$1,MONTH(OctSun1+2)=10),OctSun1+2,"")</f>
        <v/>
      </c>
      <c r="AK6" s="51" t="str">
        <f>IF(AND(YEAR(OctSun1+3)=$A$1,MONTH(OctSun1+3)=10),OctSun1+3,"")</f>
        <v/>
      </c>
      <c r="AL6" s="51" t="str">
        <f>IF(AND(YEAR(OctSun1+4)=$A$1,MONTH(OctSun1+4)=10),OctSun1+4,"")</f>
        <v/>
      </c>
      <c r="AM6" s="51" t="str">
        <f>IF(AND(YEAR(OctSun1+5)=$A$1,MONTH(OctSun1+5)=10),OctSun1+5,"")</f>
        <v/>
      </c>
      <c r="AN6" s="51">
        <f>IF(AND(YEAR(OctSun1+6)=$A$1,MONTH(OctSun1+6)=10),OctSun1+6,"")</f>
        <v>42644</v>
      </c>
      <c r="AO6" s="44"/>
      <c r="AR6" s="19" t="s">
        <v>24</v>
      </c>
      <c r="AS6" s="4">
        <v>0.5</v>
      </c>
      <c r="AT6" s="4">
        <v>0.5</v>
      </c>
      <c r="AU6" s="4">
        <v>1</v>
      </c>
      <c r="AV6" s="4">
        <v>0</v>
      </c>
      <c r="AW6" s="4">
        <v>0</v>
      </c>
      <c r="AX6" s="5" t="s">
        <v>42</v>
      </c>
      <c r="AZ6" s="6">
        <v>1</v>
      </c>
    </row>
    <row r="7" spans="1:52" s="6" customFormat="1" ht="15.95" customHeight="1">
      <c r="A7" s="1">
        <v>0</v>
      </c>
      <c r="B7" s="61"/>
      <c r="C7" s="62"/>
      <c r="D7" s="53"/>
      <c r="E7" s="53"/>
      <c r="F7" s="53"/>
      <c r="G7" s="53"/>
      <c r="H7" s="52"/>
      <c r="I7" s="52"/>
      <c r="J7" s="52"/>
      <c r="K7" s="83"/>
      <c r="L7" s="84"/>
      <c r="M7" s="62"/>
      <c r="N7" s="53"/>
      <c r="O7" s="53"/>
      <c r="P7" s="53"/>
      <c r="Q7" s="52"/>
      <c r="R7" s="52"/>
      <c r="S7" s="52"/>
      <c r="T7" s="52"/>
      <c r="U7" s="83"/>
      <c r="V7" s="84"/>
      <c r="W7" s="62"/>
      <c r="X7" s="53"/>
      <c r="Y7" s="53"/>
      <c r="Z7" s="53"/>
      <c r="AA7" s="52"/>
      <c r="AB7" s="52"/>
      <c r="AC7" s="52"/>
      <c r="AD7" s="52"/>
      <c r="AE7" s="83"/>
      <c r="AF7" s="84"/>
      <c r="AG7" s="62"/>
      <c r="AH7" s="53"/>
      <c r="AI7" s="53"/>
      <c r="AJ7" s="53"/>
      <c r="AK7" s="53"/>
      <c r="AL7" s="52"/>
      <c r="AM7" s="52"/>
      <c r="AN7" s="52"/>
      <c r="AO7" s="45"/>
      <c r="AZ7" s="6">
        <v>1.5</v>
      </c>
    </row>
    <row r="8" spans="2:52" s="3" customFormat="1" ht="15.95" customHeight="1">
      <c r="B8" s="63"/>
      <c r="C8" s="60"/>
      <c r="D8" s="51">
        <f>IF(AND(YEAR(JanSun1+7)=$A$1,MONTH(JanSun1+7)=1),JanSun1+7,"")</f>
        <v>42372</v>
      </c>
      <c r="E8" s="51">
        <f>IF(AND(YEAR(JanSun1+8)=$A$1,MONTH(JanSun1+8)=1),JanSun1+8,"")</f>
        <v>42373</v>
      </c>
      <c r="F8" s="51">
        <f>IF(AND(YEAR(JanSun1+9)=$A$1,MONTH(JanSun1+9)=1),JanSun1+9,"")</f>
        <v>42374</v>
      </c>
      <c r="G8" s="51">
        <f>IF(AND(YEAR(JanSun1+10)=$A$1,MONTH(JanSun1+10)=1),JanSun1+10,"")</f>
        <v>42375</v>
      </c>
      <c r="H8" s="51">
        <f>IF(AND(YEAR(JanSun1+11)=$A$1,MONTH(JanSun1+11)=1),JanSun1+11,"")</f>
        <v>42376</v>
      </c>
      <c r="I8" s="51">
        <f>IF(AND(YEAR(JanSun1+12)=$A$1,MONTH(JanSun1+12)=1),JanSun1+12,"")</f>
        <v>42377</v>
      </c>
      <c r="J8" s="51">
        <f>IF(AND(YEAR(JanSun1+13)=$A$1,MONTH(JanSun1+13)=1),JanSun1+13,"")</f>
        <v>42378</v>
      </c>
      <c r="K8" s="49"/>
      <c r="L8" s="16"/>
      <c r="M8" s="60"/>
      <c r="N8" s="51">
        <f>IF(AND(YEAR(AprSun1+7)=$A$1,MONTH(AprSun1+7)=4),AprSun1+7,"")</f>
        <v>42463</v>
      </c>
      <c r="O8" s="51">
        <f>IF(AND(YEAR(AprSun1+8)=$A$1,MONTH(AprSun1+8)=4),AprSun1+8,"")</f>
        <v>42464</v>
      </c>
      <c r="P8" s="51">
        <f>IF(AND(YEAR(AprSun1+9)=$A$1,MONTH(AprSun1+9)=4),AprSun1+9,"")</f>
        <v>42465</v>
      </c>
      <c r="Q8" s="51">
        <f>IF(AND(YEAR(AprSun1+10)=$A$1,MONTH(AprSun1+10)=4),AprSun1+10,"")</f>
        <v>42466</v>
      </c>
      <c r="R8" s="51">
        <f>IF(AND(YEAR(AprSun1+11)=$A$1,MONTH(AprSun1+11)=4),AprSun1+11,"")</f>
        <v>42467</v>
      </c>
      <c r="S8" s="51">
        <f>IF(AND(YEAR(AprSun1+12)=$A$1,MONTH(AprSun1+12)=4),AprSun1+12,"")</f>
        <v>42468</v>
      </c>
      <c r="T8" s="51">
        <f>IF(AND(YEAR(AprSun1+13)=$A$1,MONTH(AprSun1+13)=4),AprSun1+13,"")</f>
        <v>42469</v>
      </c>
      <c r="U8" s="49"/>
      <c r="V8" s="16"/>
      <c r="W8" s="60"/>
      <c r="X8" s="51">
        <f>IF(AND(YEAR(JulSun1+7)=$A$1,MONTH(JulSun1+7)=7),JulSun1+7,"")</f>
        <v>42554</v>
      </c>
      <c r="Y8" s="51">
        <f>IF(AND(YEAR(JulSun1+8)=$A$1,MONTH(JulSun1+8)=7),JulSun1+8,"")</f>
        <v>42555</v>
      </c>
      <c r="Z8" s="51">
        <f>IF(AND(YEAR(JulSun1+9)=$A$1,MONTH(JulSun1+9)=7),JulSun1+9,"")</f>
        <v>42556</v>
      </c>
      <c r="AA8" s="51">
        <f>IF(AND(YEAR(JulSun1+10)=$A$1,MONTH(JulSun1+10)=7),JulSun1+10,"")</f>
        <v>42557</v>
      </c>
      <c r="AB8" s="51">
        <f>IF(AND(YEAR(JulSun1+11)=$A$1,MONTH(JulSun1+11)=7),JulSun1+11,"")</f>
        <v>42558</v>
      </c>
      <c r="AC8" s="51">
        <f>IF(AND(YEAR(JulSun1+12)=$A$1,MONTH(JulSun1+12)=7),JulSun1+12,"")</f>
        <v>42559</v>
      </c>
      <c r="AD8" s="51">
        <f>IF(AND(YEAR(JulSun1+13)=$A$1,MONTH(JulSun1+13)=7),JulSun1+13,"")</f>
        <v>42560</v>
      </c>
      <c r="AE8" s="49"/>
      <c r="AF8" s="16"/>
      <c r="AG8" s="60"/>
      <c r="AH8" s="51">
        <f>IF(AND(YEAR(OctSun1+7)=$A$1,MONTH(OctSun1+7)=10),OctSun1+7,"")</f>
        <v>42645</v>
      </c>
      <c r="AI8" s="51">
        <f>IF(AND(YEAR(OctSun1+8)=$A$1,MONTH(OctSun1+8)=10),OctSun1+8,"")</f>
        <v>42646</v>
      </c>
      <c r="AJ8" s="51">
        <f>IF(AND(YEAR(OctSun1+9)=$A$1,MONTH(OctSun1+9)=10),OctSun1+9,"")</f>
        <v>42647</v>
      </c>
      <c r="AK8" s="51">
        <f>IF(AND(YEAR(OctSun1+10)=$A$1,MONTH(OctSun1+10)=10),OctSun1+10,"")</f>
        <v>42648</v>
      </c>
      <c r="AL8" s="51">
        <f>IF(AND(YEAR(OctSun1+11)=$A$1,MONTH(OctSun1+11)=10),OctSun1+11,"")</f>
        <v>42649</v>
      </c>
      <c r="AM8" s="51">
        <f>IF(AND(YEAR(OctSun1+12)=$A$1,MONTH(OctSun1+12)=10),OctSun1+12,"")</f>
        <v>42650</v>
      </c>
      <c r="AN8" s="51">
        <f>IF(AND(YEAR(OctSun1+13)=$A$1,MONTH(OctSun1+13)=10),OctSun1+13,"")</f>
        <v>42651</v>
      </c>
      <c r="AO8" s="44"/>
      <c r="AR8" s="19" t="s">
        <v>38</v>
      </c>
      <c r="AS8" s="19">
        <v>2014</v>
      </c>
      <c r="AT8" s="20" t="s">
        <v>18</v>
      </c>
      <c r="AU8" s="19" t="s">
        <v>19</v>
      </c>
      <c r="AV8" s="19" t="s">
        <v>17</v>
      </c>
      <c r="AW8" s="19"/>
      <c r="AZ8" s="6">
        <v>2</v>
      </c>
    </row>
    <row r="9" spans="1:52" s="6" customFormat="1" ht="15.95" customHeight="1" thickBot="1">
      <c r="A9" s="105" t="s">
        <v>43</v>
      </c>
      <c r="B9" s="58"/>
      <c r="C9" s="62"/>
      <c r="D9" s="52"/>
      <c r="E9" s="52"/>
      <c r="F9" s="52"/>
      <c r="G9" s="52"/>
      <c r="H9" s="52"/>
      <c r="I9" s="52"/>
      <c r="J9" s="52"/>
      <c r="K9" s="83"/>
      <c r="L9" s="84"/>
      <c r="M9" s="62"/>
      <c r="N9" s="52"/>
      <c r="O9" s="52"/>
      <c r="P9" s="52"/>
      <c r="Q9" s="52"/>
      <c r="R9" s="52"/>
      <c r="S9" s="52"/>
      <c r="T9" s="52"/>
      <c r="U9" s="83"/>
      <c r="V9" s="84"/>
      <c r="W9" s="62"/>
      <c r="X9" s="52"/>
      <c r="Y9" s="52"/>
      <c r="Z9" s="52"/>
      <c r="AA9" s="52"/>
      <c r="AB9" s="52"/>
      <c r="AC9" s="52"/>
      <c r="AD9" s="52"/>
      <c r="AE9" s="83"/>
      <c r="AF9" s="84"/>
      <c r="AG9" s="62"/>
      <c r="AH9" s="52"/>
      <c r="AI9" s="52"/>
      <c r="AJ9" s="52"/>
      <c r="AK9" s="52"/>
      <c r="AL9" s="52"/>
      <c r="AM9" s="52"/>
      <c r="AN9" s="52"/>
      <c r="AO9" s="45"/>
      <c r="AR9" s="19"/>
      <c r="AS9" s="19" t="s">
        <v>37</v>
      </c>
      <c r="AT9" s="4" t="s">
        <v>2</v>
      </c>
      <c r="AU9" s="4" t="s">
        <v>22</v>
      </c>
      <c r="AV9" s="4" t="s">
        <v>20</v>
      </c>
      <c r="AW9" s="7" t="s">
        <v>23</v>
      </c>
      <c r="AZ9" s="18">
        <v>2.5</v>
      </c>
    </row>
    <row r="10" spans="1:52" s="3" customFormat="1" ht="15.95" customHeight="1" thickBot="1">
      <c r="A10" s="106" t="s">
        <v>36</v>
      </c>
      <c r="B10" s="58"/>
      <c r="C10" s="60"/>
      <c r="D10" s="51">
        <f>IF(AND(YEAR(JanSun1+14)=$A$1,MONTH(JanSun1+14)=1),JanSun1+14,"")</f>
        <v>42379</v>
      </c>
      <c r="E10" s="51">
        <f>IF(AND(YEAR(JanSun1+15)=$A$1,MONTH(JanSun1+15)=1),JanSun1+15,"")</f>
        <v>42380</v>
      </c>
      <c r="F10" s="51">
        <f>IF(AND(YEAR(JanSun1+16)=$A$1,MONTH(JanSun1+16)=1),JanSun1+16,"")</f>
        <v>42381</v>
      </c>
      <c r="G10" s="51">
        <f>IF(AND(YEAR(JanSun1+17)=$A$1,MONTH(JanSun1+17)=1),JanSun1+17,"")</f>
        <v>42382</v>
      </c>
      <c r="H10" s="51">
        <f>IF(AND(YEAR(JanSun1+18)=$A$1,MONTH(JanSun1+18)=1),JanSun1+18,"")</f>
        <v>42383</v>
      </c>
      <c r="I10" s="51">
        <f>IF(AND(YEAR(JanSun1+19)=$A$1,MONTH(JanSun1+19)=1),JanSun1+19,"")</f>
        <v>42384</v>
      </c>
      <c r="J10" s="51">
        <f>IF(AND(YEAR(JanSun1+20)=$A$1,MONTH(JanSun1+20)=1),JanSun1+20,"")</f>
        <v>42385</v>
      </c>
      <c r="K10" s="49"/>
      <c r="L10" s="16"/>
      <c r="M10" s="60"/>
      <c r="N10" s="51">
        <f>IF(AND(YEAR(AprSun1+14)=$A$1,MONTH(AprSun1+14)=4),AprSun1+14,"")</f>
        <v>42470</v>
      </c>
      <c r="O10" s="51">
        <f>IF(AND(YEAR(AprSun1+15)=$A$1,MONTH(AprSun1+15)=4),AprSun1+15,"")</f>
        <v>42471</v>
      </c>
      <c r="P10" s="51">
        <f>IF(AND(YEAR(AprSun1+16)=$A$1,MONTH(AprSun1+16)=4),AprSun1+16,"")</f>
        <v>42472</v>
      </c>
      <c r="Q10" s="51">
        <f>IF(AND(YEAR(AprSun1+17)=$A$1,MONTH(AprSun1+17)=4),AprSun1+17,"")</f>
        <v>42473</v>
      </c>
      <c r="R10" s="51">
        <f>IF(AND(YEAR(AprSun1+18)=$A$1,MONTH(AprSun1+18)=4),AprSun1+18,"")</f>
        <v>42474</v>
      </c>
      <c r="S10" s="51">
        <f>IF(AND(YEAR(AprSun1+19)=$A$1,MONTH(AprSun1+19)=4),AprSun1+19,"")</f>
        <v>42475</v>
      </c>
      <c r="T10" s="51">
        <f>IF(AND(YEAR(AprSun1+20)=$A$1,MONTH(AprSun1+20)=4),AprSun1+20,"")</f>
        <v>42476</v>
      </c>
      <c r="U10" s="49"/>
      <c r="V10" s="16"/>
      <c r="W10" s="60"/>
      <c r="X10" s="51">
        <f>IF(AND(YEAR(JulSun1+14)=$A$1,MONTH(JulSun1+14)=7),JulSun1+14,"")</f>
        <v>42561</v>
      </c>
      <c r="Y10" s="51">
        <f>IF(AND(YEAR(JulSun1+15)=$A$1,MONTH(JulSun1+15)=7),JulSun1+15,"")</f>
        <v>42562</v>
      </c>
      <c r="Z10" s="51">
        <f>IF(AND(YEAR(JulSun1+16)=$A$1,MONTH(JulSun1+16)=7),JulSun1+16,"")</f>
        <v>42563</v>
      </c>
      <c r="AA10" s="51">
        <f>IF(AND(YEAR(JulSun1+17)=$A$1,MONTH(JulSun1+17)=7),JulSun1+17,"")</f>
        <v>42564</v>
      </c>
      <c r="AB10" s="51">
        <f>IF(AND(YEAR(JulSun1+18)=$A$1,MONTH(JulSun1+18)=7),JulSun1+18,"")</f>
        <v>42565</v>
      </c>
      <c r="AC10" s="51">
        <f>IF(AND(YEAR(JulSun1+19)=$A$1,MONTH(JulSun1+19)=7),JulSun1+19,"")</f>
        <v>42566</v>
      </c>
      <c r="AD10" s="51">
        <f>IF(AND(YEAR(JulSun1+20)=$A$1,MONTH(JulSun1+20)=7),JulSun1+20,"")</f>
        <v>42567</v>
      </c>
      <c r="AE10" s="49"/>
      <c r="AF10" s="16"/>
      <c r="AG10" s="60"/>
      <c r="AH10" s="51">
        <f>IF(AND(YEAR(OctSun1+14)=$A$1,MONTH(OctSun1+14)=10),OctSun1+14,"")</f>
        <v>42652</v>
      </c>
      <c r="AI10" s="51">
        <f>IF(AND(YEAR(OctSun1+15)=$A$1,MONTH(OctSun1+15)=10),OctSun1+15,"")</f>
        <v>42653</v>
      </c>
      <c r="AJ10" s="51">
        <f>IF(AND(YEAR(OctSun1+16)=$A$1,MONTH(OctSun1+16)=10),OctSun1+16,"")</f>
        <v>42654</v>
      </c>
      <c r="AK10" s="51">
        <f>IF(AND(YEAR(OctSun1+17)=$A$1,MONTH(OctSun1+17)=10),OctSun1+17,"")</f>
        <v>42655</v>
      </c>
      <c r="AL10" s="51">
        <f>IF(AND(YEAR(OctSun1+18)=$A$1,MONTH(OctSun1+18)=10),OctSun1+18,"")</f>
        <v>42656</v>
      </c>
      <c r="AM10" s="51">
        <f>IF(AND(YEAR(OctSun1+19)=$A$1,MONTH(OctSun1+19)=10),OctSun1+19,"")</f>
        <v>42657</v>
      </c>
      <c r="AN10" s="51">
        <f>IF(AND(YEAR(OctSun1+20)=$A$1,MONTH(OctSun1+20)=10),OctSun1+20,"")</f>
        <v>42658</v>
      </c>
      <c r="AO10" s="44"/>
      <c r="AR10" s="19" t="s">
        <v>24</v>
      </c>
      <c r="AS10" s="19">
        <f>A7</f>
        <v>0</v>
      </c>
      <c r="AT10" s="4">
        <f>F18+F33+F52+P18+P35+P52+Z18+Z35+Z52+AJ18+AJ35+AJ52</f>
        <v>0</v>
      </c>
      <c r="AU10" s="8">
        <f>J18+J33+J52+T52+T35+T18+AD18+AD35+AD52+AN52+AN35+AN18+AR26</f>
        <v>0</v>
      </c>
      <c r="AV10" s="9">
        <f>SUM(H18,H33,H52,R52,R35,R18,AB18,AB35,AB52,AL52,AL35,AL18)</f>
        <v>0</v>
      </c>
      <c r="AW10" s="10">
        <f>AS10+(AT10*0.5)+AU10+(AV10*0.5)</f>
        <v>0</v>
      </c>
      <c r="AZ10" s="6">
        <v>3</v>
      </c>
    </row>
    <row r="11" spans="1:52" s="6" customFormat="1" ht="15.95" customHeight="1">
      <c r="A11" s="108" t="s">
        <v>45</v>
      </c>
      <c r="B11" s="58"/>
      <c r="C11" s="62"/>
      <c r="D11" s="52"/>
      <c r="E11" s="52"/>
      <c r="F11" s="52"/>
      <c r="G11" s="52"/>
      <c r="H11" s="52"/>
      <c r="I11" s="52"/>
      <c r="J11" s="52"/>
      <c r="K11" s="83"/>
      <c r="L11" s="84"/>
      <c r="M11" s="62"/>
      <c r="N11" s="52"/>
      <c r="O11" s="52"/>
      <c r="P11" s="52"/>
      <c r="Q11" s="52"/>
      <c r="R11" s="52"/>
      <c r="S11" s="52"/>
      <c r="T11" s="52"/>
      <c r="U11" s="83"/>
      <c r="V11" s="84"/>
      <c r="W11" s="62"/>
      <c r="X11" s="52"/>
      <c r="Y11" s="52"/>
      <c r="Z11" s="52"/>
      <c r="AA11" s="52"/>
      <c r="AB11" s="52"/>
      <c r="AC11" s="52"/>
      <c r="AD11" s="52"/>
      <c r="AE11" s="83"/>
      <c r="AF11" s="84"/>
      <c r="AG11" s="62"/>
      <c r="AH11" s="52"/>
      <c r="AI11" s="52"/>
      <c r="AJ11" s="52"/>
      <c r="AK11" s="52"/>
      <c r="AL11" s="52"/>
      <c r="AM11" s="52"/>
      <c r="AN11" s="52"/>
      <c r="AO11" s="45"/>
      <c r="AZ11" s="6">
        <v>3.5</v>
      </c>
    </row>
    <row r="12" spans="1:52" s="3" customFormat="1" ht="15.95" customHeight="1">
      <c r="A12" s="1">
        <v>0</v>
      </c>
      <c r="B12" s="61"/>
      <c r="C12" s="60"/>
      <c r="D12" s="51">
        <f>IF(AND(YEAR(JanSun1+21)=$A$1,MONTH(JanSun1+21)=1),JanSun1+21,"")</f>
        <v>42386</v>
      </c>
      <c r="E12" s="51">
        <f>IF(AND(YEAR(JanSun1+22)=$A$1,MONTH(JanSun1+22)=1),JanSun1+22,"")</f>
        <v>42387</v>
      </c>
      <c r="F12" s="51">
        <f>IF(AND(YEAR(JanSun1+23)=$A$1,MONTH(JanSun1+23)=1),JanSun1+23,"")</f>
        <v>42388</v>
      </c>
      <c r="G12" s="51">
        <f>IF(AND(YEAR(JanSun1+24)=$A$1,MONTH(JanSun1+24)=1),JanSun1+24,"")</f>
        <v>42389</v>
      </c>
      <c r="H12" s="51">
        <f>IF(AND(YEAR(JanSun1+25)=$A$1,MONTH(JanSun1+25)=1),JanSun1+25,"")</f>
        <v>42390</v>
      </c>
      <c r="I12" s="51">
        <f>IF(AND(YEAR(JanSun1+26)=$A$1,MONTH(JanSun1+26)=1),JanSun1+26,"")</f>
        <v>42391</v>
      </c>
      <c r="J12" s="51">
        <f>IF(AND(YEAR(JanSun1+27)=$A$1,MONTH(JanSun1+27)=1),JanSun1+27,"")</f>
        <v>42392</v>
      </c>
      <c r="K12" s="49"/>
      <c r="L12" s="16"/>
      <c r="M12" s="60"/>
      <c r="N12" s="51">
        <f>IF(AND(YEAR(AprSun1+21)=$A$1,MONTH(AprSun1+21)=4),AprSun1+21,"")</f>
        <v>42477</v>
      </c>
      <c r="O12" s="51">
        <f>IF(AND(YEAR(AprSun1+22)=$A$1,MONTH(AprSun1+22)=4),AprSun1+22,"")</f>
        <v>42478</v>
      </c>
      <c r="P12" s="51">
        <f>IF(AND(YEAR(AprSun1+23)=$A$1,MONTH(AprSun1+23)=4),AprSun1+23,"")</f>
        <v>42479</v>
      </c>
      <c r="Q12" s="51">
        <f>IF(AND(YEAR(AprSun1+24)=$A$1,MONTH(AprSun1+24)=4),AprSun1+24,"")</f>
        <v>42480</v>
      </c>
      <c r="R12" s="51">
        <f>IF(AND(YEAR(AprSun1+25)=$A$1,MONTH(AprSun1+25)=4),AprSun1+25,"")</f>
        <v>42481</v>
      </c>
      <c r="S12" s="51">
        <f>IF(AND(YEAR(AprSun1+26)=$A$1,MONTH(AprSun1+26)=4),AprSun1+26,"")</f>
        <v>42482</v>
      </c>
      <c r="T12" s="51">
        <f>IF(AND(YEAR(AprSun1+27)=$A$1,MONTH(AprSun1+27)=4),AprSun1+27,"")</f>
        <v>42483</v>
      </c>
      <c r="U12" s="49"/>
      <c r="V12" s="16"/>
      <c r="W12" s="60"/>
      <c r="X12" s="51">
        <f>IF(AND(YEAR(JulSun1+21)=$A$1,MONTH(JulSun1+21)=7),JulSun1+21,"")</f>
        <v>42568</v>
      </c>
      <c r="Y12" s="51">
        <f>IF(AND(YEAR(JulSun1+22)=$A$1,MONTH(JulSun1+22)=7),JulSun1+22,"")</f>
        <v>42569</v>
      </c>
      <c r="Z12" s="51">
        <f>IF(AND(YEAR(JulSun1+23)=$A$1,MONTH(JulSun1+23)=7),JulSun1+23,"")</f>
        <v>42570</v>
      </c>
      <c r="AA12" s="51">
        <f>IF(AND(YEAR(JulSun1+24)=$A$1,MONTH(JulSun1+24)=7),JulSun1+24,"")</f>
        <v>42571</v>
      </c>
      <c r="AB12" s="51">
        <f>IF(AND(YEAR(JulSun1+25)=$A$1,MONTH(JulSun1+25)=7),JulSun1+25,"")</f>
        <v>42572</v>
      </c>
      <c r="AC12" s="51">
        <f>IF(AND(YEAR(JulSun1+26)=$A$1,MONTH(JulSun1+26)=7),JulSun1+26,"")</f>
        <v>42573</v>
      </c>
      <c r="AD12" s="51">
        <f>IF(AND(YEAR(JulSun1+27)=$A$1,MONTH(JulSun1+27)=7),JulSun1+27,"")</f>
        <v>42574</v>
      </c>
      <c r="AE12" s="49"/>
      <c r="AF12" s="16"/>
      <c r="AG12" s="60"/>
      <c r="AH12" s="51">
        <f>IF(AND(YEAR(OctSun1+21)=$A$1,MONTH(OctSun1+21)=10),OctSun1+21,"")</f>
        <v>42659</v>
      </c>
      <c r="AI12" s="51">
        <f>IF(AND(YEAR(OctSun1+22)=$A$1,MONTH(OctSun1+22)=10),OctSun1+22,"")</f>
        <v>42660</v>
      </c>
      <c r="AJ12" s="51">
        <f>IF(AND(YEAR(OctSun1+23)=$A$1,MONTH(OctSun1+23)=10),OctSun1+23,"")</f>
        <v>42661</v>
      </c>
      <c r="AK12" s="51">
        <f>IF(AND(YEAR(OctSun1+24)=$A$1,MONTH(OctSun1+24)=10),OctSun1+24,"")</f>
        <v>42662</v>
      </c>
      <c r="AL12" s="51">
        <f>IF(AND(YEAR(OctSun1+25)=$A$1,MONTH(OctSun1+25)=10),OctSun1+25,"")</f>
        <v>42663</v>
      </c>
      <c r="AM12" s="51">
        <f>IF(AND(YEAR(OctSun1+26)=$A$1,MONTH(OctSun1+26)=10),OctSun1+26,"")</f>
        <v>42664</v>
      </c>
      <c r="AN12" s="51">
        <f>IF(AND(YEAR(OctSun1+27)=$A$1,MONTH(OctSun1+27)=10),OctSun1+27,"")</f>
        <v>42665</v>
      </c>
      <c r="AO12" s="44"/>
      <c r="AR12" s="19" t="s">
        <v>24</v>
      </c>
      <c r="AS12" s="4">
        <v>4</v>
      </c>
      <c r="AT12" s="129" t="s">
        <v>27</v>
      </c>
      <c r="AU12" s="130"/>
      <c r="AZ12" s="6">
        <v>4</v>
      </c>
    </row>
    <row r="13" spans="2:52" s="6" customFormat="1" ht="15.95" customHeight="1">
      <c r="B13" s="64"/>
      <c r="C13" s="62"/>
      <c r="D13" s="52"/>
      <c r="E13" s="52"/>
      <c r="F13" s="52"/>
      <c r="G13" s="52"/>
      <c r="H13" s="52"/>
      <c r="I13" s="52"/>
      <c r="J13" s="52"/>
      <c r="K13" s="83"/>
      <c r="L13" s="84"/>
      <c r="M13" s="62"/>
      <c r="N13" s="52"/>
      <c r="O13" s="52"/>
      <c r="P13" s="52"/>
      <c r="Q13" s="52"/>
      <c r="R13" s="52"/>
      <c r="S13" s="52"/>
      <c r="T13" s="52"/>
      <c r="U13" s="83"/>
      <c r="V13" s="84"/>
      <c r="W13" s="62"/>
      <c r="X13" s="52"/>
      <c r="Y13" s="52"/>
      <c r="Z13" s="52"/>
      <c r="AA13" s="52"/>
      <c r="AB13" s="52"/>
      <c r="AC13" s="52"/>
      <c r="AD13" s="52"/>
      <c r="AE13" s="83"/>
      <c r="AF13" s="84"/>
      <c r="AG13" s="62"/>
      <c r="AH13" s="52"/>
      <c r="AI13" s="52"/>
      <c r="AJ13" s="52"/>
      <c r="AK13" s="52"/>
      <c r="AL13" s="52"/>
      <c r="AM13" s="52"/>
      <c r="AN13" s="52"/>
      <c r="AO13" s="45"/>
      <c r="AR13" s="17">
        <f>AS10+(AT10*0.5)+AU10+(AV10*0.5)</f>
        <v>0</v>
      </c>
      <c r="AS13" s="4">
        <v>6</v>
      </c>
      <c r="AT13" s="131" t="s">
        <v>28</v>
      </c>
      <c r="AU13" s="132"/>
      <c r="AZ13" s="6">
        <v>4.5</v>
      </c>
    </row>
    <row r="14" spans="2:52" s="3" customFormat="1" ht="15.95" customHeight="1">
      <c r="B14" s="63"/>
      <c r="C14" s="60"/>
      <c r="D14" s="51">
        <f>IF(AND(YEAR(JanSun1+28)=$A$1,MONTH(JanSun1+28)=1),JanSun1+28,"")</f>
        <v>42393</v>
      </c>
      <c r="E14" s="51">
        <f>IF(AND(YEAR(JanSun1+29)=$A$1,MONTH(JanSun1+29)=1),JanSun1+29,"")</f>
        <v>42394</v>
      </c>
      <c r="F14" s="51">
        <f>IF(AND(YEAR(JanSun1+30)=$A$1,MONTH(JanSun1+30)=1),JanSun1+30,"")</f>
        <v>42395</v>
      </c>
      <c r="G14" s="51">
        <f>IF(AND(YEAR(JanSun1+31)=$A$1,MONTH(JanSun1+31)=1),JanSun1+31,"")</f>
        <v>42396</v>
      </c>
      <c r="H14" s="51">
        <f>IF(AND(YEAR(JanSun1+32)=$A$1,MONTH(JanSun1+32)=1),JanSun1+32,"")</f>
        <v>42397</v>
      </c>
      <c r="I14" s="51">
        <f>IF(AND(YEAR(JanSun1+33)=$A$1,MONTH(JanSun1+33)=1),JanSun1+33,"")</f>
        <v>42398</v>
      </c>
      <c r="J14" s="51">
        <f>IF(AND(YEAR(JanSun1+34)=$A$1,MONTH(JanSun1+34)=1),JanSun1+34,"")</f>
        <v>42399</v>
      </c>
      <c r="K14" s="49"/>
      <c r="L14" s="16"/>
      <c r="M14" s="60"/>
      <c r="N14" s="51">
        <f>IF(AND(YEAR(AprSun1+28)=$A$1,MONTH(AprSun1+28)=4),AprSun1+28,"")</f>
        <v>42484</v>
      </c>
      <c r="O14" s="51">
        <f>IF(AND(YEAR(AprSun1+29)=$A$1,MONTH(AprSun1+29)=4),AprSun1+29,"")</f>
        <v>42485</v>
      </c>
      <c r="P14" s="51">
        <f>IF(AND(YEAR(AprSun1+30)=$A$1,MONTH(AprSun1+30)=4),AprSun1+30,"")</f>
        <v>42486</v>
      </c>
      <c r="Q14" s="51">
        <f>IF(AND(YEAR(AprSun1+31)=$A$1,MONTH(AprSun1+31)=4),AprSun1+31,"")</f>
        <v>42487</v>
      </c>
      <c r="R14" s="51">
        <f>IF(AND(YEAR(AprSun1+32)=$A$1,MONTH(AprSun1+32)=4),AprSun1+32,"")</f>
        <v>42488</v>
      </c>
      <c r="S14" s="51">
        <f>IF(AND(YEAR(AprSun1+33)=$A$1,MONTH(AprSun1+33)=4),AprSun1+33,"")</f>
        <v>42489</v>
      </c>
      <c r="T14" s="51">
        <f>IF(AND(YEAR(AprSun1+34)=$A$1,MONTH(AprSun1+34)=4),AprSun1+34,"")</f>
        <v>42490</v>
      </c>
      <c r="U14" s="49"/>
      <c r="V14" s="16"/>
      <c r="W14" s="60"/>
      <c r="X14" s="51">
        <f>IF(AND(YEAR(JulSun1+28)=$A$1,MONTH(JulSun1+28)=7),JulSun1+28,"")</f>
        <v>42575</v>
      </c>
      <c r="Y14" s="51">
        <f>IF(AND(YEAR(JulSun1+29)=$A$1,MONTH(JulSun1+29)=7),JulSun1+29,"")</f>
        <v>42576</v>
      </c>
      <c r="Z14" s="51">
        <f>IF(AND(YEAR(JulSun1+30)=$A$1,MONTH(JulSun1+30)=7),JulSun1+30,"")</f>
        <v>42577</v>
      </c>
      <c r="AA14" s="51">
        <f>IF(AND(YEAR(JulSun1+31)=$A$1,MONTH(JulSun1+31)=7),JulSun1+31,"")</f>
        <v>42578</v>
      </c>
      <c r="AB14" s="51">
        <f>IF(AND(YEAR(JulSun1+32)=$A$1,MONTH(JulSun1+32)=7),JulSun1+32,"")</f>
        <v>42579</v>
      </c>
      <c r="AC14" s="51">
        <f>IF(AND(YEAR(JulSun1+33)=$A$1,MONTH(JulSun1+33)=7),JulSun1+33,"")</f>
        <v>42580</v>
      </c>
      <c r="AD14" s="51">
        <f>IF(AND(YEAR(JulSun1+34)=$A$1,MONTH(JulSun1+34)=7),JulSun1+34,"")</f>
        <v>42581</v>
      </c>
      <c r="AE14" s="49"/>
      <c r="AF14" s="16"/>
      <c r="AG14" s="60"/>
      <c r="AH14" s="51">
        <f>IF(AND(YEAR(OctSun1+28)=$A$1,MONTH(OctSun1+28)=10),OctSun1+28,"")</f>
        <v>42666</v>
      </c>
      <c r="AI14" s="51">
        <f>IF(AND(YEAR(OctSun1+29)=$A$1,MONTH(OctSun1+29)=10),OctSun1+29,"")</f>
        <v>42667</v>
      </c>
      <c r="AJ14" s="51">
        <f>IF(AND(YEAR(OctSun1+30)=$A$1,MONTH(OctSun1+30)=10),OctSun1+30,"")</f>
        <v>42668</v>
      </c>
      <c r="AK14" s="51">
        <f>IF(AND(YEAR(OctSun1+31)=$A$1,MONTH(OctSun1+31)=10),OctSun1+31,"")</f>
        <v>42669</v>
      </c>
      <c r="AL14" s="51">
        <f>IF(AND(YEAR(OctSun1+32)=$A$1,MONTH(OctSun1+32)=10),OctSun1+32,"")</f>
        <v>42670</v>
      </c>
      <c r="AM14" s="51">
        <f>IF(AND(YEAR(OctSun1+33)=$A$1,MONTH(OctSun1+33)=10),OctSun1+33,"")</f>
        <v>42671</v>
      </c>
      <c r="AN14" s="51">
        <f>IF(AND(YEAR(OctSun1+34)=$A$1,MONTH(OctSun1+34)=10),OctSun1+34,"")</f>
        <v>42672</v>
      </c>
      <c r="AO14" s="44"/>
      <c r="AR14" s="19"/>
      <c r="AS14" s="4">
        <v>8</v>
      </c>
      <c r="AT14" s="121" t="s">
        <v>29</v>
      </c>
      <c r="AU14" s="122"/>
      <c r="AZ14" s="18">
        <v>5</v>
      </c>
    </row>
    <row r="15" spans="1:52" s="6" customFormat="1" ht="15.95" customHeight="1">
      <c r="A15" s="3"/>
      <c r="B15" s="63"/>
      <c r="C15" s="60"/>
      <c r="D15" s="52"/>
      <c r="E15" s="52"/>
      <c r="F15" s="52"/>
      <c r="G15" s="52"/>
      <c r="H15" s="52"/>
      <c r="I15" s="52"/>
      <c r="J15" s="52"/>
      <c r="K15" s="49"/>
      <c r="L15" s="16"/>
      <c r="M15" s="60"/>
      <c r="N15" s="52"/>
      <c r="O15" s="52"/>
      <c r="P15" s="52"/>
      <c r="Q15" s="52"/>
      <c r="R15" s="52"/>
      <c r="S15" s="52"/>
      <c r="T15" s="52"/>
      <c r="U15" s="49"/>
      <c r="V15" s="16"/>
      <c r="W15" s="60"/>
      <c r="X15" s="52"/>
      <c r="Y15" s="52"/>
      <c r="Z15" s="52"/>
      <c r="AA15" s="52"/>
      <c r="AB15" s="52"/>
      <c r="AC15" s="52"/>
      <c r="AD15" s="109"/>
      <c r="AE15" s="49"/>
      <c r="AF15" s="16"/>
      <c r="AG15" s="60"/>
      <c r="AH15" s="52"/>
      <c r="AI15" s="52"/>
      <c r="AJ15" s="52"/>
      <c r="AK15" s="52"/>
      <c r="AL15" s="52"/>
      <c r="AM15" s="52"/>
      <c r="AN15" s="52"/>
      <c r="AO15" s="44"/>
      <c r="AP15" s="3"/>
      <c r="AQ15" s="3"/>
      <c r="AR15" s="19"/>
      <c r="AS15" s="4">
        <v>10</v>
      </c>
      <c r="AT15" s="123" t="s">
        <v>30</v>
      </c>
      <c r="AU15" s="124"/>
      <c r="AZ15" s="6">
        <v>5.5</v>
      </c>
    </row>
    <row r="16" spans="1:52" s="6" customFormat="1" ht="15.95" customHeight="1">
      <c r="A16" s="3"/>
      <c r="B16" s="63"/>
      <c r="C16" s="60"/>
      <c r="D16" s="51">
        <f>IF(AND(YEAR(JanSun1+35)=$A$1,MONTH(JanSun1+35)=1),JanSun1+35,"")</f>
        <v>42400</v>
      </c>
      <c r="E16" s="51" t="str">
        <f>IF(AND(YEAR(JanSun1+36)=$A$1,MONTH(JanSun1+36)=1),JanSun1+36,"")</f>
        <v/>
      </c>
      <c r="F16" s="51" t="str">
        <f>IF(AND(YEAR(JanSun1+37)=$A$1,MONTH(JanSun1+37)=1),JanSun1+37,"")</f>
        <v/>
      </c>
      <c r="G16" s="51" t="str">
        <f>IF(AND(YEAR(JanSun1+38)=$A$1,MONTH(JanSun1+38)=1),JanSun1+38,"")</f>
        <v/>
      </c>
      <c r="H16" s="51" t="str">
        <f>IF(AND(YEAR(JanSun1+39)=$A$1,MONTH(JanSun1+39)=1),JanSun1+39,"")</f>
        <v/>
      </c>
      <c r="I16" s="51" t="str">
        <f>IF(AND(YEAR(JanSun1+40)=$A$1,MONTH(JanSun1+40)=1),JanSun1+40,"")</f>
        <v/>
      </c>
      <c r="J16" s="51" t="str">
        <f>IF(AND(YEAR(JanSun1+41)=$A$1,MONTH(JanSun1+41)=1),JanSun1+41,"")</f>
        <v/>
      </c>
      <c r="K16" s="49"/>
      <c r="L16" s="16"/>
      <c r="M16" s="60"/>
      <c r="N16" s="51" t="str">
        <f>IF(AND(YEAR(AprSun1+35)=$A$1,MONTH(AprSun1+35)=4),AprSun1+35,"")</f>
        <v/>
      </c>
      <c r="O16" s="51" t="str">
        <f>IF(AND(YEAR(AprSun1+36)=$A$1,MONTH(AprSun1+36)=4),AprSun1+36,"")</f>
        <v/>
      </c>
      <c r="P16" s="51" t="str">
        <f>IF(AND(YEAR(AprSun1+37)=$A$1,MONTH(AprSun1+37)=4),AprSun1+37,"")</f>
        <v/>
      </c>
      <c r="Q16" s="51" t="str">
        <f>IF(AND(YEAR(AprSun1+38)=$A$1,MONTH(AprSun1+38)=4),AprSun1+38,"")</f>
        <v/>
      </c>
      <c r="R16" s="51" t="str">
        <f>IF(AND(YEAR(AprSun1+39)=$A$1,MONTH(AprSun1+39)=4),AprSun1+39,"")</f>
        <v/>
      </c>
      <c r="S16" s="51" t="str">
        <f>IF(AND(YEAR(AprSun1+40)=$A$1,MONTH(AprSun1+40)=4),AprSun1+40,"")</f>
        <v/>
      </c>
      <c r="T16" s="51" t="str">
        <f>IF(AND(YEAR(AprSun1+41)=$A$1,MONTH(AprSun1+41)=4),AprSun1+41,"")</f>
        <v/>
      </c>
      <c r="U16" s="49"/>
      <c r="V16" s="16"/>
      <c r="W16" s="60"/>
      <c r="X16" s="51">
        <f>IF(AND(YEAR(JulSun1+35)=$A$1,MONTH(JulSun1+35)=7),JulSun1+35,"")</f>
        <v>42582</v>
      </c>
      <c r="Y16" s="51" t="str">
        <f>IF(AND(YEAR(JulSun1+36)=$A$1,MONTH(JulSun1+36)=7),JulSun1+36,"")</f>
        <v/>
      </c>
      <c r="Z16" s="51" t="str">
        <f>IF(AND(YEAR(JulSun1+37)=$A$1,MONTH(JulSun1+37)=7),JulSun1+37,"")</f>
        <v/>
      </c>
      <c r="AA16" s="51" t="str">
        <f>IF(AND(YEAR(JulSun1+38)=$A$1,MONTH(JulSun1+38)=7),JulSun1+38,"")</f>
        <v/>
      </c>
      <c r="AB16" s="51" t="str">
        <f>IF(AND(YEAR(JulSun1+39)=$A$1,MONTH(JulSun1+39)=7),JulSun1+39,"")</f>
        <v/>
      </c>
      <c r="AC16" s="51" t="str">
        <f>IF(AND(YEAR(JulSun1+40)=$A$1,MONTH(JulSun1+40)=7),JulSun1+40,"")</f>
        <v/>
      </c>
      <c r="AD16" s="51" t="str">
        <f>IF(AND(YEAR(JulSun1+41)=$A$1,MONTH(JulSun1+41)=7),JulSun1+41,"")</f>
        <v/>
      </c>
      <c r="AE16" s="49"/>
      <c r="AF16" s="16"/>
      <c r="AG16" s="60"/>
      <c r="AH16" s="51">
        <f>IF(AND(YEAR(OctSun1+35)=$A$1,MONTH(OctSun1+35)=10),OctSun1+35,"")</f>
        <v>42673</v>
      </c>
      <c r="AI16" s="51">
        <f>IF(AND(YEAR(OctSun1+36)=$A$1,MONTH(OctSun1+36)=10),OctSun1+36,"")</f>
        <v>42674</v>
      </c>
      <c r="AJ16" s="51" t="str">
        <f>IF(AND(YEAR(OctSun1+37)=$A$1,MONTH(OctSun1+37)=10),OctSun1+37,"")</f>
        <v/>
      </c>
      <c r="AK16" s="51" t="str">
        <f>IF(AND(YEAR(OctSun1+38)=$A$1,MONTH(OctSun1+38)=10),OctSun1+38,"")</f>
        <v/>
      </c>
      <c r="AL16" s="51" t="str">
        <f>IF(AND(YEAR(OctSun1+39)=$A$1,MONTH(OctSun1+39)=10),OctSun1+39,"")</f>
        <v/>
      </c>
      <c r="AM16" s="51" t="str">
        <f>IF(AND(YEAR(OctSun1+40)=$A$1,MONTH(OctSun1+40)=10),OctSun1+40,"")</f>
        <v/>
      </c>
      <c r="AN16" s="51" t="str">
        <f>IF(AND(YEAR(OctSun1+41)=$A$1,MONTH(OctSun1+41)=10),OctSun1+41,"")</f>
        <v/>
      </c>
      <c r="AO16" s="44"/>
      <c r="AP16" s="3"/>
      <c r="AQ16" s="3"/>
      <c r="AR16" s="12"/>
      <c r="AZ16" s="6">
        <v>6</v>
      </c>
    </row>
    <row r="17" spans="2:52" s="6" customFormat="1" ht="15.95" customHeight="1">
      <c r="B17" s="64"/>
      <c r="C17" s="62"/>
      <c r="D17" s="52"/>
      <c r="E17" s="53"/>
      <c r="F17" s="53"/>
      <c r="G17" s="53"/>
      <c r="H17" s="53"/>
      <c r="I17" s="53"/>
      <c r="J17" s="53"/>
      <c r="K17" s="48" t="s">
        <v>21</v>
      </c>
      <c r="L17" s="16"/>
      <c r="M17" s="62"/>
      <c r="N17" s="53"/>
      <c r="O17" s="53"/>
      <c r="P17" s="53"/>
      <c r="Q17" s="53"/>
      <c r="R17" s="53"/>
      <c r="S17" s="53"/>
      <c r="T17" s="53"/>
      <c r="U17" s="48" t="s">
        <v>21</v>
      </c>
      <c r="V17" s="16"/>
      <c r="W17" s="62"/>
      <c r="X17" s="52"/>
      <c r="Y17" s="53"/>
      <c r="Z17" s="53"/>
      <c r="AA17" s="53"/>
      <c r="AB17" s="53"/>
      <c r="AC17" s="53"/>
      <c r="AD17" s="53"/>
      <c r="AE17" s="48" t="s">
        <v>21</v>
      </c>
      <c r="AF17" s="16"/>
      <c r="AG17" s="62"/>
      <c r="AH17" s="52"/>
      <c r="AI17" s="52"/>
      <c r="AJ17" s="53"/>
      <c r="AK17" s="53"/>
      <c r="AL17" s="53"/>
      <c r="AM17" s="53"/>
      <c r="AN17" s="53"/>
      <c r="AO17" s="46" t="s">
        <v>21</v>
      </c>
      <c r="AP17" s="3"/>
      <c r="AQ17" s="3"/>
      <c r="AR17" s="20" t="s">
        <v>32</v>
      </c>
      <c r="AS17" s="4">
        <v>6</v>
      </c>
      <c r="AT17" s="127" t="s">
        <v>27</v>
      </c>
      <c r="AU17" s="128"/>
      <c r="AZ17" s="6">
        <v>6.5</v>
      </c>
    </row>
    <row r="18" spans="1:52" s="3" customFormat="1" ht="15.95" customHeight="1" thickBot="1">
      <c r="A18" s="6"/>
      <c r="B18" s="64"/>
      <c r="C18" s="65" t="s">
        <v>35</v>
      </c>
      <c r="D18" s="110">
        <f>COUNTIF(D7:J7,"AC")+COUNTIF(D9:J9,"AC")+COUNTIF(D11:J11,"AC")+COUNTIF(D13:J13,"AC")+COUNTIF(D15:J15,"AC")+COUNTIF(D17:J17,"AC")</f>
        <v>0</v>
      </c>
      <c r="E18" s="111" t="s">
        <v>2</v>
      </c>
      <c r="F18" s="110">
        <f>COUNTIF(D7:J7,"T")+COUNTIF(D9:J9,"T")+COUNTIF(D11:J11,"T")+COUNTIF(D13:J13,"T")+COUNTIF(D15:J15,"T")+COUNTIF(D17:J17,"T")</f>
        <v>0</v>
      </c>
      <c r="G18" s="111" t="s">
        <v>20</v>
      </c>
      <c r="H18" s="110">
        <f>COUNTIF(D7:J7,"MP")+COUNTIF(D9:J9,"MP")+COUNTIF(D11:J11,"MP")+COUNTIF(D13:J13,"MP")+COUNTIF(D15:J15,"MP")+COUNTIF(D17:J17,"MP")</f>
        <v>0</v>
      </c>
      <c r="I18" s="111" t="s">
        <v>22</v>
      </c>
      <c r="J18" s="110">
        <f>COUNTIF(D7:J7,"A")+COUNTIF(D9:J9,"A")+COUNTIF(D11:J11,"A")+COUNTIF(D13:J13,"A")+COUNTIF(D15:J15,"A")+COUNTIF(D17:J17,"A")</f>
        <v>0</v>
      </c>
      <c r="K18" s="54">
        <f>SUM((F18*0.5)+(H18*0.5)+(J18))</f>
        <v>0</v>
      </c>
      <c r="L18" s="85"/>
      <c r="M18" s="65" t="s">
        <v>35</v>
      </c>
      <c r="N18" s="110">
        <f>COUNTIF(N7:T7,"AC")+COUNTIF(N9:T9,"AC")+COUNTIF(N11:T11,"AC")+COUNTIF(N13:T13,"AC")+COUNTIF(N15:T15,"AC")+COUNTIF(N17:T17,"AC")</f>
        <v>0</v>
      </c>
      <c r="O18" s="111" t="s">
        <v>2</v>
      </c>
      <c r="P18" s="110">
        <f>COUNTIF(N7:T7,"T")+COUNTIF(N9:T9,"T")+COUNTIF(N11:T11,"T")+COUNTIF(N13:T13,"T")+COUNTIF(N15:T15,"T")+COUNTIF(N17:T17,"T")</f>
        <v>0</v>
      </c>
      <c r="Q18" s="111" t="s">
        <v>20</v>
      </c>
      <c r="R18" s="110">
        <f>COUNTIF(N7:T7,"MP")+COUNTIF(N9:T9,"MP")+COUNTIF(N11:T11,"MP")+COUNTIF(N13:T13,"MP")+COUNTIF(N15:T15,"MP")+COUNTIF(N17:T17,"MP")</f>
        <v>0</v>
      </c>
      <c r="S18" s="111" t="s">
        <v>22</v>
      </c>
      <c r="T18" s="110">
        <f>COUNTIF(N7:T7,"A")+COUNTIF(N9:T9,"A")+COUNTIF(N11:T11,"A")+COUNTIF(N13:T13,"A")+COUNTIF(N15:T15,"A")+COUNTIF(N17:T17,"A")</f>
        <v>0</v>
      </c>
      <c r="U18" s="54">
        <f>SUM((P18*0.5)+(R18*0.5)+(T18))</f>
        <v>0</v>
      </c>
      <c r="V18" s="85"/>
      <c r="W18" s="65" t="s">
        <v>35</v>
      </c>
      <c r="X18" s="110">
        <f>COUNTIF(X7:AD7,"AC")+COUNTIF(X9:AD9,"AC")+COUNTIF(X11:AD11,"AC")+COUNTIF(X13:AD13,"AC")+COUNTIF(X15:AD15,"AC")+COUNTIF(X17:AD17,"AC")</f>
        <v>0</v>
      </c>
      <c r="Y18" s="111" t="s">
        <v>2</v>
      </c>
      <c r="Z18" s="110">
        <f>COUNTIF(X7:AD7,"T")+COUNTIF(X9:AD9,"T")+COUNTIF(X11:AD11,"T")+COUNTIF(X13:AD13,"T")+COUNTIF(X15:AD15,"T")+COUNTIF(X17:AD17,"T")</f>
        <v>0</v>
      </c>
      <c r="AA18" s="111" t="s">
        <v>20</v>
      </c>
      <c r="AB18" s="110">
        <f>COUNTIF(X7:AD7,"MP")+COUNTIF(X9:AD9,"MP")+COUNTIF(X11:AD11,"MP")+COUNTIF(X13:AD13,"MP")+COUNTIF(X17:AD17,"MP")+COUNTIF(X15:AD15,"MP")</f>
        <v>0</v>
      </c>
      <c r="AC18" s="111" t="s">
        <v>22</v>
      </c>
      <c r="AD18" s="110">
        <f>COUNTIF(X7:AD7,"A")+COUNTIF(X9:AD9,"A")+COUNTIF(X11:AD11,"A")+COUNTIF(X13:AD13,"A")+COUNTIF(X15:AD15,"A")+COUNTIF(X17:AD17,"A")</f>
        <v>0</v>
      </c>
      <c r="AE18" s="54">
        <f>SUM((Z18*0.5)+(AB18*0.5)+(AD18))</f>
        <v>0</v>
      </c>
      <c r="AF18" s="85"/>
      <c r="AG18" s="65" t="s">
        <v>35</v>
      </c>
      <c r="AH18" s="110">
        <f>COUNTIF(AH7:AN7,"AC")+COUNTIF(AH9:AN9,"AC")+COUNTIF(AH11:AN11,"AC")+COUNTIF(AH13:AN13,"AC")+COUNTIF(AH15:AN15,"AC")+COUNTIF(AH17:AN17,"AC")</f>
        <v>0</v>
      </c>
      <c r="AI18" s="111" t="s">
        <v>2</v>
      </c>
      <c r="AJ18" s="110">
        <f>COUNTIF(AH7:AN7,"T")+COUNTIF(AH9:AN9,"T")+COUNTIF(AH11:AN11,"T")+COUNTIF(AH13:AN13,"T")+COUNTIF(AH15:AN15,"T")+COUNTIF(AH17:AN17,"T")</f>
        <v>0</v>
      </c>
      <c r="AK18" s="111" t="s">
        <v>20</v>
      </c>
      <c r="AL18" s="110">
        <f>COUNTIF(AH7:AN7,"MP")+COUNTIF(AH9:AN9,"MP")+COUNTIF(AH11:AN11,"MP")+COUNTIF(AH13:AN13,"MP")+COUNTIF(AH15:AN15,"MP")+COUNTIF(AH17:AN17,"MP")</f>
        <v>0</v>
      </c>
      <c r="AM18" s="111" t="s">
        <v>22</v>
      </c>
      <c r="AN18" s="110">
        <f>COUNTIF(AH7:AN7,"A")+COUNTIF(AH9:AN9,"A")+COUNTIF(AH11:AN11,"A")+COUNTIF(AH13:AN13,"A")+COUNTIF(AH15:AN15,"A")+COUNTIF(AH17:AN17,"A")</f>
        <v>0</v>
      </c>
      <c r="AO18" s="54">
        <f>SUM((AJ18*0.5)+(AL18*0.5)+(AN18))</f>
        <v>0</v>
      </c>
      <c r="AP18" s="11"/>
      <c r="AQ18" s="11"/>
      <c r="AR18" s="21" t="s">
        <v>19</v>
      </c>
      <c r="AS18" s="4">
        <v>9</v>
      </c>
      <c r="AT18" s="131" t="s">
        <v>28</v>
      </c>
      <c r="AU18" s="132"/>
      <c r="AZ18" s="6">
        <v>7</v>
      </c>
    </row>
    <row r="19" spans="1:52" s="3" customFormat="1" ht="15.95" customHeight="1" thickBot="1" thickTop="1">
      <c r="A19" s="6"/>
      <c r="B19" s="64"/>
      <c r="C19" s="66"/>
      <c r="D19" s="66"/>
      <c r="E19" s="66"/>
      <c r="F19" s="66"/>
      <c r="G19" s="66"/>
      <c r="H19" s="66"/>
      <c r="I19" s="66"/>
      <c r="J19" s="66"/>
      <c r="K19" s="39"/>
      <c r="L19" s="85"/>
      <c r="M19" s="66"/>
      <c r="N19" s="66"/>
      <c r="O19" s="66"/>
      <c r="P19" s="66"/>
      <c r="Q19" s="66"/>
      <c r="R19" s="66"/>
      <c r="S19" s="66"/>
      <c r="T19" s="66"/>
      <c r="U19" s="39"/>
      <c r="V19" s="85"/>
      <c r="W19" s="66"/>
      <c r="X19" s="66"/>
      <c r="Y19" s="66"/>
      <c r="Z19" s="66"/>
      <c r="AA19" s="66"/>
      <c r="AB19" s="66"/>
      <c r="AC19" s="66"/>
      <c r="AD19" s="66"/>
      <c r="AE19" s="39"/>
      <c r="AF19" s="85"/>
      <c r="AG19" s="66"/>
      <c r="AH19" s="66"/>
      <c r="AI19" s="66"/>
      <c r="AJ19" s="66"/>
      <c r="AK19" s="66"/>
      <c r="AL19" s="66"/>
      <c r="AM19" s="66"/>
      <c r="AN19" s="66"/>
      <c r="AO19" s="39"/>
      <c r="AQ19" s="6"/>
      <c r="AR19" s="13">
        <f>D18+J18+D33+J33+D52+J52+N18+T18+N35+T35+N52+T52+X52+AD52+X35+AD35+X18+AD18+AH18+AN18+AH35+AN35+AH52+AN52+AR23</f>
        <v>0</v>
      </c>
      <c r="AS19" s="14">
        <v>12</v>
      </c>
      <c r="AT19" s="121" t="s">
        <v>29</v>
      </c>
      <c r="AU19" s="122"/>
      <c r="AZ19" s="18">
        <v>7.5</v>
      </c>
    </row>
    <row r="20" spans="1:52" s="6" customFormat="1" ht="15.75" customHeight="1" thickTop="1">
      <c r="A20" s="3"/>
      <c r="B20" s="64"/>
      <c r="C20" s="67"/>
      <c r="D20" s="112"/>
      <c r="E20" s="112"/>
      <c r="F20" s="112"/>
      <c r="G20" s="112"/>
      <c r="H20" s="112"/>
      <c r="I20" s="112"/>
      <c r="J20" s="112"/>
      <c r="K20" s="47"/>
      <c r="L20" s="85"/>
      <c r="M20" s="67"/>
      <c r="N20" s="112"/>
      <c r="O20" s="112"/>
      <c r="P20" s="112"/>
      <c r="Q20" s="112"/>
      <c r="R20" s="112"/>
      <c r="S20" s="112"/>
      <c r="T20" s="112"/>
      <c r="U20" s="47"/>
      <c r="V20" s="85"/>
      <c r="W20" s="67"/>
      <c r="X20" s="112"/>
      <c r="Y20" s="112"/>
      <c r="Z20" s="112"/>
      <c r="AA20" s="112"/>
      <c r="AB20" s="112"/>
      <c r="AC20" s="112"/>
      <c r="AD20" s="112"/>
      <c r="AE20" s="47"/>
      <c r="AF20" s="85"/>
      <c r="AG20" s="67"/>
      <c r="AH20" s="112"/>
      <c r="AI20" s="112"/>
      <c r="AJ20" s="112"/>
      <c r="AK20" s="112"/>
      <c r="AL20" s="112"/>
      <c r="AM20" s="112"/>
      <c r="AN20" s="112"/>
      <c r="AO20" s="47"/>
      <c r="AP20" s="3"/>
      <c r="AQ20" s="3"/>
      <c r="AR20" s="19"/>
      <c r="AS20" s="4">
        <v>15</v>
      </c>
      <c r="AT20" s="123" t="s">
        <v>30</v>
      </c>
      <c r="AU20" s="124"/>
      <c r="AZ20" s="6">
        <v>8</v>
      </c>
    </row>
    <row r="21" spans="2:52" s="3" customFormat="1" ht="15.95" customHeight="1">
      <c r="B21" s="63"/>
      <c r="C21" s="62"/>
      <c r="D21" s="133" t="s">
        <v>6</v>
      </c>
      <c r="E21" s="134"/>
      <c r="F21" s="134"/>
      <c r="G21" s="134"/>
      <c r="H21" s="134"/>
      <c r="I21" s="134"/>
      <c r="J21" s="135"/>
      <c r="K21" s="86"/>
      <c r="L21" s="87"/>
      <c r="M21" s="62"/>
      <c r="N21" s="133" t="s">
        <v>9</v>
      </c>
      <c r="O21" s="134"/>
      <c r="P21" s="134"/>
      <c r="Q21" s="134"/>
      <c r="R21" s="134"/>
      <c r="S21" s="134"/>
      <c r="T21" s="135"/>
      <c r="U21" s="86"/>
      <c r="V21" s="87"/>
      <c r="W21" s="62"/>
      <c r="X21" s="133" t="s">
        <v>14</v>
      </c>
      <c r="Y21" s="134"/>
      <c r="Z21" s="134"/>
      <c r="AA21" s="134"/>
      <c r="AB21" s="134"/>
      <c r="AC21" s="134"/>
      <c r="AD21" s="135"/>
      <c r="AE21" s="86"/>
      <c r="AF21" s="87"/>
      <c r="AG21" s="62"/>
      <c r="AH21" s="133" t="s">
        <v>15</v>
      </c>
      <c r="AI21" s="134"/>
      <c r="AJ21" s="134"/>
      <c r="AK21" s="134"/>
      <c r="AL21" s="134"/>
      <c r="AM21" s="134"/>
      <c r="AN21" s="135"/>
      <c r="AO21" s="45"/>
      <c r="AP21" s="6"/>
      <c r="AR21" s="22" t="s">
        <v>51</v>
      </c>
      <c r="AS21" s="25"/>
      <c r="AT21" s="26"/>
      <c r="AU21" s="27"/>
      <c r="AZ21" s="6">
        <v>8.5</v>
      </c>
    </row>
    <row r="22" spans="2:52" s="6" customFormat="1" ht="15.95" customHeight="1">
      <c r="B22" s="63"/>
      <c r="C22" s="60"/>
      <c r="D22" s="107" t="s">
        <v>0</v>
      </c>
      <c r="E22" s="107" t="s">
        <v>1</v>
      </c>
      <c r="F22" s="107" t="s">
        <v>2</v>
      </c>
      <c r="G22" s="107" t="s">
        <v>3</v>
      </c>
      <c r="H22" s="107" t="s">
        <v>2</v>
      </c>
      <c r="I22" s="107" t="s">
        <v>4</v>
      </c>
      <c r="J22" s="107" t="s">
        <v>0</v>
      </c>
      <c r="K22" s="81"/>
      <c r="L22" s="82"/>
      <c r="M22" s="60"/>
      <c r="N22" s="107" t="s">
        <v>0</v>
      </c>
      <c r="O22" s="107" t="s">
        <v>1</v>
      </c>
      <c r="P22" s="107" t="s">
        <v>2</v>
      </c>
      <c r="Q22" s="107" t="s">
        <v>3</v>
      </c>
      <c r="R22" s="107" t="s">
        <v>2</v>
      </c>
      <c r="S22" s="107" t="s">
        <v>4</v>
      </c>
      <c r="T22" s="107" t="s">
        <v>0</v>
      </c>
      <c r="U22" s="81"/>
      <c r="V22" s="82"/>
      <c r="W22" s="60"/>
      <c r="X22" s="107" t="s">
        <v>0</v>
      </c>
      <c r="Y22" s="107" t="s">
        <v>1</v>
      </c>
      <c r="Z22" s="107" t="s">
        <v>2</v>
      </c>
      <c r="AA22" s="107" t="s">
        <v>3</v>
      </c>
      <c r="AB22" s="107" t="s">
        <v>2</v>
      </c>
      <c r="AC22" s="107" t="s">
        <v>4</v>
      </c>
      <c r="AD22" s="107" t="s">
        <v>0</v>
      </c>
      <c r="AE22" s="81"/>
      <c r="AF22" s="82"/>
      <c r="AG22" s="60"/>
      <c r="AH22" s="107" t="s">
        <v>0</v>
      </c>
      <c r="AI22" s="107" t="s">
        <v>1</v>
      </c>
      <c r="AJ22" s="107" t="s">
        <v>2</v>
      </c>
      <c r="AK22" s="107" t="s">
        <v>3</v>
      </c>
      <c r="AL22" s="107" t="s">
        <v>2</v>
      </c>
      <c r="AM22" s="107" t="s">
        <v>4</v>
      </c>
      <c r="AN22" s="107" t="s">
        <v>0</v>
      </c>
      <c r="AO22" s="44"/>
      <c r="AP22" s="3"/>
      <c r="AR22" s="23" t="s">
        <v>44</v>
      </c>
      <c r="AS22" s="28"/>
      <c r="AT22" s="29"/>
      <c r="AU22" s="30"/>
      <c r="AZ22" s="6">
        <v>9</v>
      </c>
    </row>
    <row r="23" spans="2:52" s="3" customFormat="1" ht="15.95" customHeight="1">
      <c r="B23" s="64"/>
      <c r="C23" s="60"/>
      <c r="D23" s="51" t="str">
        <f>IF(AND(YEAR(FebSun1)=$A$1,MONTH(FebSun1)=2),FebSun1,"")</f>
        <v/>
      </c>
      <c r="E23" s="51">
        <f>IF(AND(YEAR(FebSun1+1)=$A$1,MONTH(FebSun1+1)=2),FebSun1+1,"")</f>
        <v>42401</v>
      </c>
      <c r="F23" s="51">
        <f>IF(AND(YEAR(FebSun1+2)=$A$1,MONTH(FebSun1+2)=2),FebSun1+2,"")</f>
        <v>42402</v>
      </c>
      <c r="G23" s="51">
        <f>IF(AND(YEAR(FebSun1+3)=$A$1,MONTH(FebSun1+3)=2),FebSun1+3,"")</f>
        <v>42403</v>
      </c>
      <c r="H23" s="51">
        <f>IF(AND(YEAR(FebSun1+4)=$A$1,MONTH(FebSun1+4)=2),FebSun1+4,"")</f>
        <v>42404</v>
      </c>
      <c r="I23" s="51">
        <f>IF(AND(YEAR(FebSun1+5)=$A$1,MONTH(FebSun1+5)=2),FebSun1+5,"")</f>
        <v>42405</v>
      </c>
      <c r="J23" s="51">
        <f>IF(AND(YEAR(FebSun1+6)=$A$1,MONTH(FebSun1+6)=2),FebSun1+6,"")</f>
        <v>42406</v>
      </c>
      <c r="K23" s="49"/>
      <c r="L23" s="16"/>
      <c r="M23" s="60"/>
      <c r="N23" s="51">
        <f>IF(AND(YEAR(MaySun1)=$A$1,MONTH(MaySun1)=5),MaySun1,"")</f>
        <v>42491</v>
      </c>
      <c r="O23" s="51">
        <f>IF(AND(YEAR(MaySun1+1)=$A$1,MONTH(MaySun1+1)=5),MaySun1+1,"")</f>
        <v>42492</v>
      </c>
      <c r="P23" s="51">
        <f>IF(AND(YEAR(MaySun1+2)=$A$1,MONTH(MaySun1+2)=5),MaySun1+2,"")</f>
        <v>42493</v>
      </c>
      <c r="Q23" s="51">
        <f>IF(AND(YEAR(MaySun1+3)=$A$1,MONTH(MaySun1+3)=5),MaySun1+3,"")</f>
        <v>42494</v>
      </c>
      <c r="R23" s="51">
        <f>IF(AND(YEAR(MaySun1+4)=$A$1,MONTH(MaySun1+4)=5),MaySun1+4,"")</f>
        <v>42495</v>
      </c>
      <c r="S23" s="51">
        <f>IF(AND(YEAR(MaySun1+5)=$A$1,MONTH(MaySun1+5)=5),MaySun1+5,"")</f>
        <v>42496</v>
      </c>
      <c r="T23" s="51">
        <f>IF(AND(YEAR(MaySun1+6)=$A$1,MONTH(MaySun1+6)=5),MaySun1+6,"")</f>
        <v>42497</v>
      </c>
      <c r="U23" s="49"/>
      <c r="V23" s="16"/>
      <c r="W23" s="60"/>
      <c r="X23" s="51" t="str">
        <f>IF(AND(YEAR(AugSun1)=$A$1,MONTH(AugSun1)=8),AugSun1,"")</f>
        <v/>
      </c>
      <c r="Y23" s="51">
        <f>IF(AND(YEAR(AugSun1+1)=$A$1,MONTH(AugSun1+1)=8),AugSun1+1,"")</f>
        <v>42583</v>
      </c>
      <c r="Z23" s="51">
        <f>IF(AND(YEAR(AugSun1+2)=$A$1,MONTH(AugSun1+2)=8),AugSun1+2,"")</f>
        <v>42584</v>
      </c>
      <c r="AA23" s="51">
        <f>IF(AND(YEAR(AugSun1+3)=$A$1,MONTH(AugSun1+3)=8),AugSun1+3,"")</f>
        <v>42585</v>
      </c>
      <c r="AB23" s="51">
        <f>IF(AND(YEAR(AugSun1+4)=$A$1,MONTH(AugSun1+4)=8),AugSun1+4,"")</f>
        <v>42586</v>
      </c>
      <c r="AC23" s="51">
        <f>IF(AND(YEAR(AugSun1+5)=$A$1,MONTH(AugSun1+5)=8),AugSun1+5,"")</f>
        <v>42587</v>
      </c>
      <c r="AD23" s="51">
        <f>IF(AND(YEAR(AugSun1+6)=$A$1,MONTH(AugSun1+6)=8),AugSun1+6,"")</f>
        <v>42588</v>
      </c>
      <c r="AE23" s="49"/>
      <c r="AF23" s="16"/>
      <c r="AG23" s="60"/>
      <c r="AH23" s="51" t="str">
        <f>IF(AND(YEAR(NovSun1)=$A$1,MONTH(NovSun1)=11),NovSun1,"")</f>
        <v/>
      </c>
      <c r="AI23" s="51" t="str">
        <f>IF(AND(YEAR(NovSun1+1)=$A$1,MONTH(NovSun1+1)=11),NovSun1+1,"")</f>
        <v/>
      </c>
      <c r="AJ23" s="51">
        <f>IF(AND(YEAR(NovSun1+2)=$A$1,MONTH(NovSun1+2)=11),NovSun1+2,"")</f>
        <v>42675</v>
      </c>
      <c r="AK23" s="51">
        <f>IF(AND(YEAR(NovSun1+3)=$A$1,MONTH(NovSun1+3)=11),NovSun1+3,"")</f>
        <v>42676</v>
      </c>
      <c r="AL23" s="51">
        <f>IF(AND(YEAR(NovSun1+4)=$A$1,MONTH(NovSun1+4)=11),NovSun1+4,"")</f>
        <v>42677</v>
      </c>
      <c r="AM23" s="51">
        <f>IF(AND(YEAR(NovSun1+5)=$A$1,MONTH(NovSun1+5)=11),NovSun1+5,"")</f>
        <v>42678</v>
      </c>
      <c r="AN23" s="51">
        <f>IF(AND(YEAR(NovSun1+6)=$A$1,MONTH(NovSun1+6)=11),NovSun1+6,"")</f>
        <v>42679</v>
      </c>
      <c r="AO23" s="44"/>
      <c r="AP23" s="6"/>
      <c r="AR23" s="24">
        <f>A12</f>
        <v>0</v>
      </c>
      <c r="AS23" s="31"/>
      <c r="AT23" s="32"/>
      <c r="AU23" s="33"/>
      <c r="AZ23" s="6">
        <v>9.5</v>
      </c>
    </row>
    <row r="24" spans="2:52" s="6" customFormat="1" ht="15.95" customHeight="1">
      <c r="B24" s="63"/>
      <c r="C24" s="62"/>
      <c r="D24" s="52"/>
      <c r="E24" s="52"/>
      <c r="F24" s="52"/>
      <c r="G24" s="52"/>
      <c r="H24" s="52"/>
      <c r="I24" s="52"/>
      <c r="J24" s="52"/>
      <c r="K24" s="83"/>
      <c r="L24" s="84"/>
      <c r="M24" s="62"/>
      <c r="N24" s="52"/>
      <c r="O24" s="52"/>
      <c r="P24" s="52"/>
      <c r="Q24" s="52"/>
      <c r="R24" s="52"/>
      <c r="S24" s="52"/>
      <c r="T24" s="52"/>
      <c r="U24" s="83"/>
      <c r="V24" s="84"/>
      <c r="W24" s="62"/>
      <c r="X24" s="53"/>
      <c r="Y24" s="52"/>
      <c r="Z24" s="52"/>
      <c r="AA24" s="52"/>
      <c r="AB24" s="52"/>
      <c r="AC24" s="52"/>
      <c r="AD24" s="52"/>
      <c r="AE24" s="83"/>
      <c r="AF24" s="84"/>
      <c r="AG24" s="62"/>
      <c r="AH24" s="52"/>
      <c r="AI24" s="52"/>
      <c r="AJ24" s="52"/>
      <c r="AK24" s="52"/>
      <c r="AL24" s="52"/>
      <c r="AM24" s="52"/>
      <c r="AN24" s="52"/>
      <c r="AO24" s="45"/>
      <c r="AP24" s="3"/>
      <c r="AR24" s="3"/>
      <c r="AS24" s="3"/>
      <c r="AT24" s="3"/>
      <c r="AU24" s="3"/>
      <c r="AZ24" s="18">
        <v>10</v>
      </c>
    </row>
    <row r="25" spans="2:52" s="3" customFormat="1" ht="15.95" customHeight="1" thickBot="1">
      <c r="B25" s="64"/>
      <c r="C25" s="60"/>
      <c r="D25" s="51">
        <f>IF(AND(YEAR(FebSun1+7)=$A$1,MONTH(FebSun1+7)=2),FebSun1+7,"")</f>
        <v>42407</v>
      </c>
      <c r="E25" s="51">
        <f>IF(AND(YEAR(FebSun1+8)=$A$1,MONTH(FebSun1+8)=2),FebSun1+8,"")</f>
        <v>42408</v>
      </c>
      <c r="F25" s="51">
        <f>IF(AND(YEAR(FebSun1+9)=$A$1,MONTH(FebSun1+9)=2),FebSun1+9,"")</f>
        <v>42409</v>
      </c>
      <c r="G25" s="51">
        <f>IF(AND(YEAR(FebSun1+10)=$A$1,MONTH(FebSun1+10)=2),FebSun1+10,"")</f>
        <v>42410</v>
      </c>
      <c r="H25" s="51">
        <f>IF(AND(YEAR(FebSun1+11)=$A$1,MONTH(FebSun1+11)=2),FebSun1+11,"")</f>
        <v>42411</v>
      </c>
      <c r="I25" s="51">
        <f>IF(AND(YEAR(FebSun1+12)=$A$1,MONTH(FebSun1+12)=2),FebSun1+12,"")</f>
        <v>42412</v>
      </c>
      <c r="J25" s="51">
        <f>IF(AND(YEAR(FebSun1+13)=$A$1,MONTH(FebSun1+13)=2),FebSun1+13,"")</f>
        <v>42413</v>
      </c>
      <c r="K25" s="49"/>
      <c r="L25" s="16"/>
      <c r="M25" s="60"/>
      <c r="N25" s="51">
        <f>IF(AND(YEAR(MaySun1+7)=$A$1,MONTH(MaySun1+7)=5),MaySun1+7,"")</f>
        <v>42498</v>
      </c>
      <c r="O25" s="51">
        <f>IF(AND(YEAR(MaySun1+8)=$A$1,MONTH(MaySun1+8)=5),MaySun1+8,"")</f>
        <v>42499</v>
      </c>
      <c r="P25" s="51">
        <f>IF(AND(YEAR(MaySun1+9)=$A$1,MONTH(MaySun1+9)=5),MaySun1+9,"")</f>
        <v>42500</v>
      </c>
      <c r="Q25" s="51">
        <f>IF(AND(YEAR(MaySun1+10)=$A$1,MONTH(MaySun1+10)=5),MaySun1+10,"")</f>
        <v>42501</v>
      </c>
      <c r="R25" s="51">
        <f>IF(AND(YEAR(MaySun1+11)=$A$1,MONTH(MaySun1+11)=5),MaySun1+11,"")</f>
        <v>42502</v>
      </c>
      <c r="S25" s="51">
        <f>IF(AND(YEAR(MaySun1+12)=$A$1,MONTH(MaySun1+12)=5),MaySun1+12,"")</f>
        <v>42503</v>
      </c>
      <c r="T25" s="51">
        <f>IF(AND(YEAR(MaySun1+13)=$A$1,MONTH(MaySun1+13)=5),MaySun1+13,"")</f>
        <v>42504</v>
      </c>
      <c r="U25" s="49"/>
      <c r="V25" s="16"/>
      <c r="W25" s="60"/>
      <c r="X25" s="51">
        <f>IF(AND(YEAR(AugSun1+7)=$A$1,MONTH(AugSun1+7)=8),AugSun1+7,"")</f>
        <v>42589</v>
      </c>
      <c r="Y25" s="51">
        <f>IF(AND(YEAR(AugSun1+8)=$A$1,MONTH(AugSun1+8)=8),AugSun1+8,"")</f>
        <v>42590</v>
      </c>
      <c r="Z25" s="51">
        <f>IF(AND(YEAR(AugSun1+9)=$A$1,MONTH(AugSun1+9)=8),AugSun1+9,"")</f>
        <v>42591</v>
      </c>
      <c r="AA25" s="51">
        <f>IF(AND(YEAR(AugSun1+10)=$A$1,MONTH(AugSun1+10)=8),AugSun1+10,"")</f>
        <v>42592</v>
      </c>
      <c r="AB25" s="51">
        <f>IF(AND(YEAR(AugSun1+11)=$A$1,MONTH(AugSun1+11)=8),AugSun1+11,"")</f>
        <v>42593</v>
      </c>
      <c r="AC25" s="51">
        <f>IF(AND(YEAR(AugSun1+12)=$A$1,MONTH(AugSun1+12)=8),AugSun1+12,"")</f>
        <v>42594</v>
      </c>
      <c r="AD25" s="51">
        <f>IF(AND(YEAR(AugSun1+13)=$A$1,MONTH(AugSun1+13)=8),AugSun1+13,"")</f>
        <v>42595</v>
      </c>
      <c r="AE25" s="49"/>
      <c r="AF25" s="16"/>
      <c r="AG25" s="60"/>
      <c r="AH25" s="51">
        <f>IF(AND(YEAR(NovSun1+7)=$A$1,MONTH(NovSun1+7)=11),NovSun1+7,"")</f>
        <v>42680</v>
      </c>
      <c r="AI25" s="51">
        <f>IF(AND(YEAR(NovSun1+8)=$A$1,MONTH(NovSun1+8)=11),NovSun1+8,"")</f>
        <v>42681</v>
      </c>
      <c r="AJ25" s="51">
        <f>IF(AND(YEAR(NovSun1+9)=$A$1,MONTH(NovSun1+9)=11),NovSun1+9,"")</f>
        <v>42682</v>
      </c>
      <c r="AK25" s="51">
        <f>IF(AND(YEAR(NovSun1+10)=$A$1,MONTH(NovSun1+10)=11),NovSun1+10,"")</f>
        <v>42683</v>
      </c>
      <c r="AL25" s="51">
        <f>IF(AND(YEAR(NovSun1+11)=$A$1,MONTH(NovSun1+11)=11),NovSun1+11,"")</f>
        <v>42684</v>
      </c>
      <c r="AM25" s="51">
        <f>IF(AND(YEAR(NovSun1+12)=$A$1,MONTH(NovSun1+12)=11),NovSun1+12,"")</f>
        <v>42685</v>
      </c>
      <c r="AN25" s="51">
        <f>IF(AND(YEAR(NovSun1+13)=$A$1,MONTH(NovSun1+13)=11),NovSun1+13,"")</f>
        <v>42686</v>
      </c>
      <c r="AO25" s="44"/>
      <c r="AP25" s="6"/>
      <c r="AR25" s="50" t="s">
        <v>40</v>
      </c>
      <c r="AS25" s="4">
        <v>1</v>
      </c>
      <c r="AT25" s="125" t="s">
        <v>28</v>
      </c>
      <c r="AU25" s="126"/>
      <c r="AZ25" s="6">
        <v>10.5</v>
      </c>
    </row>
    <row r="26" spans="2:52" s="6" customFormat="1" ht="15.95" customHeight="1" thickBot="1">
      <c r="B26" s="63"/>
      <c r="C26" s="62"/>
      <c r="D26" s="52"/>
      <c r="E26" s="52"/>
      <c r="F26" s="52"/>
      <c r="G26" s="52"/>
      <c r="H26" s="52"/>
      <c r="I26" s="52"/>
      <c r="J26" s="52"/>
      <c r="K26" s="83"/>
      <c r="L26" s="84"/>
      <c r="M26" s="62"/>
      <c r="N26" s="52"/>
      <c r="O26" s="52"/>
      <c r="P26" s="52"/>
      <c r="Q26" s="52"/>
      <c r="R26" s="52"/>
      <c r="S26" s="52"/>
      <c r="T26" s="52"/>
      <c r="U26" s="83"/>
      <c r="V26" s="84"/>
      <c r="W26" s="62"/>
      <c r="X26" s="52"/>
      <c r="Y26" s="52"/>
      <c r="Z26" s="52"/>
      <c r="AA26" s="52"/>
      <c r="AB26" s="52"/>
      <c r="AC26" s="52"/>
      <c r="AD26" s="52"/>
      <c r="AE26" s="83"/>
      <c r="AF26" s="84"/>
      <c r="AG26" s="62"/>
      <c r="AH26" s="52"/>
      <c r="AI26" s="52"/>
      <c r="AJ26" s="52"/>
      <c r="AK26" s="52"/>
      <c r="AL26" s="52"/>
      <c r="AM26" s="52"/>
      <c r="AN26" s="52"/>
      <c r="AO26" s="45"/>
      <c r="AP26" s="3"/>
      <c r="AR26" s="15">
        <f>COUNTIF(D7:J7,"NC")+COUNTIF(D9:J9,"NC")+COUNTIF(D11:J11,"NC")+COUNTIF(D13:J13,"NC")+COUNTIF(D17:J17,"NC")+COUNTIF(D24:J24,"NC")+COUNTIF(D26:J26,"NC")+COUNTIF(D28:J28,"NC")+COUNTIF(D30:J30,"NC")+COUNTIF(D32:J32,"NC")+COUNTIF(D43:J43,"NC")+COUNTIF(D45:J45,"NC")+COUNTIF(D47:J47,"NC")+COUNTIF(D49:J49,"NC")+COUNTIF(D51:J51,"NC")+COUNTIF(N7:T7,"NC")+COUNTIF(N9:T9,"NC")+COUNTIF(N11:T11,"NC")+COUNTIF(N13:T13,"NC")+COUNTIF(N17:T17,"NC")+COUNTIF(N24:T24,"NC")+COUNTIF(N26:T26,"NC")+COUNTIF(N28:T28,"NC")+COUNTIF(N30:T30,"NC")+COUNTIF(N34:T34,"NC")+COUNTIF(N43:T43,"NC")+COUNTIF(N45:T45,"NC")+COUNTIF(N47:T47,"NC")+COUNTIF(N49:T49,"NC")+COUNTIF(N51:T51,"NC")+COUNTIF(X7:AD7,"NC")+COUNTIF(X9:AD9,"NC")+COUNTIF(X11:AD11,"NC")+COUNTIF(X13:AD13,"NC")+COUNTIF(X17:AD17,"NC")+COUNTIF(X24:AD24,"NC")+COUNTIF(X26:AD26,"NC")+COUNTIF(X28:AD28,"NC")+COUNTIF(X30:AD30,"NC")+COUNTIF(X34:AD34,"NC")+COUNTIF(X43:AD43,"NC")+COUNTIF(X45:AD45,"NC")+COUNTIF(X47:AD47,"NC")+COUNTIF(X49:AD49,"NC")+COUNTIF(X51:AD51,"NC")+COUNTIF(AH7:AN7,"NC")+COUNTIF(AH9:AN9,"NC")+COUNTIF(AH11:AN11,"NC")+COUNTIF(AH13:AN13,"NC")+COUNTIF(AH17:AN17,"NC")+COUNTIF(AH24:AN24,"NC")+COUNTIF(AH26:AN26,"NC")+COUNTIF(AH28:AN28,"NC")+COUNTIF(AH30:AN30,"NC")+COUNTIF(AH34:AN34,"NC")+COUNTIF(AH43:AN43,"NC")+COUNTIF(AH45:AN45,"NC")+COUNTIF(AH47:AN47,"NC")+COUNTIF(AH49:AN49,"NC")+COUNTIF(AH51:AN51,"NC")+COUNTIF(D41:J41,"NC")+COUNTIF(N41:T41,"NC")+COUNTIF(X41:AD41,"NC")+COUNTIF(AH41:AN41,"NC")</f>
        <v>0</v>
      </c>
      <c r="AS26" s="14">
        <v>2</v>
      </c>
      <c r="AT26" s="121" t="s">
        <v>29</v>
      </c>
      <c r="AU26" s="122"/>
      <c r="AZ26" s="6">
        <v>11</v>
      </c>
    </row>
    <row r="27" spans="2:52" s="3" customFormat="1" ht="15.95" customHeight="1">
      <c r="B27" s="64"/>
      <c r="C27" s="60"/>
      <c r="D27" s="51">
        <f>IF(AND(YEAR(FebSun1+14)=$A$1,MONTH(FebSun1+14)=2),FebSun1+14,"")</f>
        <v>42414</v>
      </c>
      <c r="E27" s="51">
        <f>IF(AND(YEAR(FebSun1+15)=$A$1,MONTH(FebSun1+15)=2),FebSun1+15,"")</f>
        <v>42415</v>
      </c>
      <c r="F27" s="51">
        <f>IF(AND(YEAR(FebSun1+16)=$A$1,MONTH(FebSun1+16)=2),FebSun1+16,"")</f>
        <v>42416</v>
      </c>
      <c r="G27" s="51">
        <f>IF(AND(YEAR(FebSun1+17)=$A$1,MONTH(FebSun1+17)=2),FebSun1+17,"")</f>
        <v>42417</v>
      </c>
      <c r="H27" s="51">
        <f>IF(AND(YEAR(FebSun1+18)=$A$1,MONTH(FebSun1+18)=2),FebSun1+18,"")</f>
        <v>42418</v>
      </c>
      <c r="I27" s="51">
        <f>IF(AND(YEAR(FebSun1+19)=$A$1,MONTH(FebSun1+19)=2),FebSun1+19,"")</f>
        <v>42419</v>
      </c>
      <c r="J27" s="51">
        <f>IF(AND(YEAR(FebSun1+20)=$A$1,MONTH(FebSun1+20)=2),FebSun1+20,"")</f>
        <v>42420</v>
      </c>
      <c r="K27" s="49"/>
      <c r="L27" s="16"/>
      <c r="M27" s="60"/>
      <c r="N27" s="51">
        <f>IF(AND(YEAR(MaySun1+14)=$A$1,MONTH(MaySun1+14)=5),MaySun1+14,"")</f>
        <v>42505</v>
      </c>
      <c r="O27" s="51">
        <f>IF(AND(YEAR(MaySun1+15)=$A$1,MONTH(MaySun1+15)=5),MaySun1+15,"")</f>
        <v>42506</v>
      </c>
      <c r="P27" s="51">
        <f>IF(AND(YEAR(MaySun1+16)=$A$1,MONTH(MaySun1+16)=5),MaySun1+16,"")</f>
        <v>42507</v>
      </c>
      <c r="Q27" s="51">
        <f>IF(AND(YEAR(MaySun1+17)=$A$1,MONTH(MaySun1+17)=5),MaySun1+17,"")</f>
        <v>42508</v>
      </c>
      <c r="R27" s="51">
        <f>IF(AND(YEAR(MaySun1+18)=$A$1,MONTH(MaySun1+18)=5),MaySun1+18,"")</f>
        <v>42509</v>
      </c>
      <c r="S27" s="51">
        <f>IF(AND(YEAR(MaySun1+19)=$A$1,MONTH(MaySun1+19)=5),MaySun1+19,"")</f>
        <v>42510</v>
      </c>
      <c r="T27" s="51">
        <f>IF(AND(YEAR(MaySun1+20)=$A$1,MONTH(MaySun1+20)=5),MaySun1+20,"")</f>
        <v>42511</v>
      </c>
      <c r="U27" s="49"/>
      <c r="V27" s="16"/>
      <c r="W27" s="60"/>
      <c r="X27" s="51">
        <f>IF(AND(YEAR(AugSun1+14)=$A$1,MONTH(AugSun1+14)=8),AugSun1+14,"")</f>
        <v>42596</v>
      </c>
      <c r="Y27" s="51">
        <f>IF(AND(YEAR(AugSun1+15)=$A$1,MONTH(AugSun1+15)=8),AugSun1+15,"")</f>
        <v>42597</v>
      </c>
      <c r="Z27" s="51">
        <f>IF(AND(YEAR(AugSun1+16)=$A$1,MONTH(AugSun1+16)=8),AugSun1+16,"")</f>
        <v>42598</v>
      </c>
      <c r="AA27" s="51">
        <f>IF(AND(YEAR(AugSun1+17)=$A$1,MONTH(AugSun1+17)=8),AugSun1+17,"")</f>
        <v>42599</v>
      </c>
      <c r="AB27" s="51">
        <f>IF(AND(YEAR(AugSun1+18)=$A$1,MONTH(AugSun1+18)=8),AugSun1+18,"")</f>
        <v>42600</v>
      </c>
      <c r="AC27" s="51">
        <f>IF(AND(YEAR(AugSun1+19)=$A$1,MONTH(AugSun1+19)=8),AugSun1+19,"")</f>
        <v>42601</v>
      </c>
      <c r="AD27" s="51">
        <f>IF(AND(YEAR(AugSun1+20)=$A$1,MONTH(AugSun1+20)=8),AugSun1+20,"")</f>
        <v>42602</v>
      </c>
      <c r="AE27" s="49"/>
      <c r="AF27" s="16"/>
      <c r="AG27" s="60"/>
      <c r="AH27" s="51">
        <f>IF(AND(YEAR(NovSun1+14)=$A$1,MONTH(NovSun1+14)=11),NovSun1+14,"")</f>
        <v>42687</v>
      </c>
      <c r="AI27" s="51">
        <f>IF(AND(YEAR(NovSun1+15)=$A$1,MONTH(NovSun1+15)=11),NovSun1+15,"")</f>
        <v>42688</v>
      </c>
      <c r="AJ27" s="51">
        <f>IF(AND(YEAR(NovSun1+16)=$A$1,MONTH(NovSun1+16)=11),NovSun1+16,"")</f>
        <v>42689</v>
      </c>
      <c r="AK27" s="51">
        <f>IF(AND(YEAR(NovSun1+17)=$A$1,MONTH(NovSun1+17)=11),NovSun1+17,"")</f>
        <v>42690</v>
      </c>
      <c r="AL27" s="51">
        <f>IF(AND(YEAR(NovSun1+18)=$A$1,MONTH(NovSun1+18)=11),NovSun1+18,"")</f>
        <v>42691</v>
      </c>
      <c r="AM27" s="51">
        <f>IF(AND(YEAR(NovSun1+19)=$A$1,MONTH(NovSun1+19)=11),NovSun1+19,"")</f>
        <v>42692</v>
      </c>
      <c r="AN27" s="51">
        <f>IF(AND(YEAR(NovSun1+20)=$A$1,MONTH(NovSun1+20)=11),NovSun1+20,"")</f>
        <v>42693</v>
      </c>
      <c r="AO27" s="44"/>
      <c r="AP27" s="6"/>
      <c r="AR27" s="34"/>
      <c r="AS27" s="4">
        <v>3</v>
      </c>
      <c r="AT27" s="123" t="s">
        <v>30</v>
      </c>
      <c r="AU27" s="124"/>
      <c r="AZ27" s="6">
        <v>11.5</v>
      </c>
    </row>
    <row r="28" spans="2:52" s="6" customFormat="1" ht="15.95" customHeight="1">
      <c r="B28" s="63"/>
      <c r="C28" s="62"/>
      <c r="D28" s="52"/>
      <c r="E28" s="52"/>
      <c r="F28" s="52"/>
      <c r="G28" s="52"/>
      <c r="H28" s="52"/>
      <c r="I28" s="52"/>
      <c r="J28" s="52"/>
      <c r="K28" s="83"/>
      <c r="L28" s="84"/>
      <c r="M28" s="62"/>
      <c r="N28" s="52"/>
      <c r="O28" s="52"/>
      <c r="P28" s="52"/>
      <c r="Q28" s="52"/>
      <c r="R28" s="52"/>
      <c r="S28" s="52"/>
      <c r="T28" s="52"/>
      <c r="U28" s="83"/>
      <c r="V28" s="84"/>
      <c r="W28" s="62"/>
      <c r="X28" s="52"/>
      <c r="Y28" s="52"/>
      <c r="Z28" s="52"/>
      <c r="AA28" s="52"/>
      <c r="AB28" s="52"/>
      <c r="AC28" s="52"/>
      <c r="AD28" s="52"/>
      <c r="AE28" s="83"/>
      <c r="AF28" s="84"/>
      <c r="AG28" s="62"/>
      <c r="AH28" s="52"/>
      <c r="AI28" s="52"/>
      <c r="AJ28" s="52"/>
      <c r="AK28" s="52"/>
      <c r="AL28" s="52"/>
      <c r="AM28" s="52"/>
      <c r="AN28" s="52"/>
      <c r="AO28" s="45"/>
      <c r="AR28" s="3"/>
      <c r="AS28" s="3"/>
      <c r="AT28" s="3"/>
      <c r="AU28" s="3"/>
      <c r="AZ28" s="6">
        <v>12</v>
      </c>
    </row>
    <row r="29" spans="2:52" s="6" customFormat="1" ht="15.95" customHeight="1">
      <c r="B29" s="64"/>
      <c r="C29" s="60"/>
      <c r="D29" s="51">
        <f>IF(AND(YEAR(FebSun1+21)=$A$1,MONTH(FebSun1+21)=2),FebSun1+21,"")</f>
        <v>42421</v>
      </c>
      <c r="E29" s="51">
        <f>IF(AND(YEAR(FebSun1+22)=$A$1,MONTH(FebSun1+22)=2),FebSun1+22,"")</f>
        <v>42422</v>
      </c>
      <c r="F29" s="51">
        <f>IF(AND(YEAR(FebSun1+23)=$A$1,MONTH(FebSun1+23)=2),FebSun1+23,"")</f>
        <v>42423</v>
      </c>
      <c r="G29" s="51">
        <f>IF(AND(YEAR(FebSun1+24)=$A$1,MONTH(FebSun1+24)=2),FebSun1+24,"")</f>
        <v>42424</v>
      </c>
      <c r="H29" s="51">
        <f>IF(AND(YEAR(FebSun1+25)=$A$1,MONTH(FebSun1+25)=2),FebSun1+25,"")</f>
        <v>42425</v>
      </c>
      <c r="I29" s="51">
        <f>IF(AND(YEAR(FebSun1+26)=$A$1,MONTH(FebSun1+26)=2),FebSun1+26,"")</f>
        <v>42426</v>
      </c>
      <c r="J29" s="51">
        <f>IF(AND(YEAR(FebSun1+27)=$A$1,MONTH(FebSun1+27)=2),FebSun1+27,"")</f>
        <v>42427</v>
      </c>
      <c r="K29" s="49"/>
      <c r="L29" s="16"/>
      <c r="M29" s="60"/>
      <c r="N29" s="51">
        <f>IF(AND(YEAR(MaySun1+21)=$A$1,MONTH(MaySun1+21)=5),MaySun1+21,"")</f>
        <v>42512</v>
      </c>
      <c r="O29" s="51">
        <f>IF(AND(YEAR(MaySun1+22)=$A$1,MONTH(MaySun1+22)=5),MaySun1+22,"")</f>
        <v>42513</v>
      </c>
      <c r="P29" s="51">
        <f>IF(AND(YEAR(MaySun1+23)=$A$1,MONTH(MaySun1+23)=5),MaySun1+23,"")</f>
        <v>42514</v>
      </c>
      <c r="Q29" s="51">
        <f>IF(AND(YEAR(MaySun1+24)=$A$1,MONTH(MaySun1+24)=5),MaySun1+24,"")</f>
        <v>42515</v>
      </c>
      <c r="R29" s="51">
        <f>IF(AND(YEAR(MaySun1+25)=$A$1,MONTH(MaySun1+25)=5),MaySun1+25,"")</f>
        <v>42516</v>
      </c>
      <c r="S29" s="51">
        <f>IF(AND(YEAR(MaySun1+26)=$A$1,MONTH(MaySun1+26)=5),MaySun1+26,"")</f>
        <v>42517</v>
      </c>
      <c r="T29" s="51">
        <f>IF(AND(YEAR(MaySun1+27)=$A$1,MONTH(MaySun1+27)=5),MaySun1+27,"")</f>
        <v>42518</v>
      </c>
      <c r="U29" s="49"/>
      <c r="V29" s="16"/>
      <c r="W29" s="60"/>
      <c r="X29" s="51">
        <f>IF(AND(YEAR(AugSun1+21)=$A$1,MONTH(AugSun1+21)=8),AugSun1+21,"")</f>
        <v>42603</v>
      </c>
      <c r="Y29" s="51">
        <f>IF(AND(YEAR(AugSun1+22)=$A$1,MONTH(AugSun1+22)=8),AugSun1+22,"")</f>
        <v>42604</v>
      </c>
      <c r="Z29" s="51">
        <f>IF(AND(YEAR(AugSun1+23)=$A$1,MONTH(AugSun1+23)=8),AugSun1+23,"")</f>
        <v>42605</v>
      </c>
      <c r="AA29" s="51">
        <f>IF(AND(YEAR(AugSun1+24)=$A$1,MONTH(AugSun1+24)=8),AugSun1+24,"")</f>
        <v>42606</v>
      </c>
      <c r="AB29" s="51">
        <f>IF(AND(YEAR(AugSun1+25)=$A$1,MONTH(AugSun1+25)=8),AugSun1+25,"")</f>
        <v>42607</v>
      </c>
      <c r="AC29" s="51">
        <f>IF(AND(YEAR(AugSun1+26)=$A$1,MONTH(AugSun1+26)=8),AugSun1+26,"")</f>
        <v>42608</v>
      </c>
      <c r="AD29" s="51">
        <f>IF(AND(YEAR(AugSun1+27)=$A$1,MONTH(AugSun1+27)=8),AugSun1+27,"")</f>
        <v>42609</v>
      </c>
      <c r="AE29" s="49"/>
      <c r="AF29" s="16"/>
      <c r="AG29" s="60"/>
      <c r="AH29" s="51">
        <f>IF(AND(YEAR(NovSun1+21)=$A$1,MONTH(NovSun1+21)=11),NovSun1+21,"")</f>
        <v>42694</v>
      </c>
      <c r="AI29" s="51">
        <f>IF(AND(YEAR(NovSun1+22)=$A$1,MONTH(NovSun1+22)=11),NovSun1+22,"")</f>
        <v>42695</v>
      </c>
      <c r="AJ29" s="51">
        <f>IF(AND(YEAR(NovSun1+23)=$A$1,MONTH(NovSun1+23)=11),NovSun1+23,"")</f>
        <v>42696</v>
      </c>
      <c r="AK29" s="51">
        <f>IF(AND(YEAR(NovSun1+24)=$A$1,MONTH(NovSun1+24)=11),NovSun1+24,"")</f>
        <v>42697</v>
      </c>
      <c r="AL29" s="51">
        <f>IF(AND(YEAR(NovSun1+25)=$A$1,MONTH(NovSun1+25)=11),NovSun1+25,"")</f>
        <v>42698</v>
      </c>
      <c r="AM29" s="51">
        <f>IF(AND(YEAR(NovSun1+26)=$A$1,MONTH(NovSun1+26)=11),NovSun1+26,"")</f>
        <v>42699</v>
      </c>
      <c r="AN29" s="51">
        <f>IF(AND(YEAR(NovSun1+27)=$A$1,MONTH(NovSun1+27)=11),NovSun1+27,"")</f>
        <v>42700</v>
      </c>
      <c r="AO29" s="44"/>
      <c r="AZ29" s="18">
        <v>12.5</v>
      </c>
    </row>
    <row r="30" spans="2:52" s="6" customFormat="1" ht="15.95" customHeight="1">
      <c r="B30" s="64"/>
      <c r="C30" s="62"/>
      <c r="D30" s="52"/>
      <c r="E30" s="52"/>
      <c r="F30" s="52"/>
      <c r="G30" s="52"/>
      <c r="H30" s="52"/>
      <c r="I30" s="52"/>
      <c r="J30" s="52"/>
      <c r="K30" s="83"/>
      <c r="L30" s="84"/>
      <c r="M30" s="62"/>
      <c r="N30" s="52"/>
      <c r="O30" s="52"/>
      <c r="P30" s="52"/>
      <c r="Q30" s="52"/>
      <c r="R30" s="52"/>
      <c r="S30" s="52"/>
      <c r="T30" s="52"/>
      <c r="U30" s="83"/>
      <c r="V30" s="84"/>
      <c r="W30" s="62"/>
      <c r="X30" s="52"/>
      <c r="Y30" s="52"/>
      <c r="Z30" s="52"/>
      <c r="AA30" s="52"/>
      <c r="AB30" s="52"/>
      <c r="AC30" s="52"/>
      <c r="AD30" s="52"/>
      <c r="AE30" s="83"/>
      <c r="AF30" s="84"/>
      <c r="AG30" s="62"/>
      <c r="AH30" s="52"/>
      <c r="AI30" s="52"/>
      <c r="AJ30" s="52"/>
      <c r="AK30" s="52"/>
      <c r="AL30" s="52"/>
      <c r="AM30" s="52"/>
      <c r="AN30" s="52"/>
      <c r="AO30" s="45"/>
      <c r="AP30" s="3"/>
      <c r="AR30" s="3"/>
      <c r="AS30" s="3"/>
      <c r="AT30" s="3"/>
      <c r="AU30" s="3"/>
      <c r="AZ30" s="6">
        <v>13</v>
      </c>
    </row>
    <row r="31" spans="2:52" s="3" customFormat="1" ht="15.95" customHeight="1">
      <c r="B31" s="64"/>
      <c r="C31" s="62"/>
      <c r="D31" s="51">
        <f>IF(AND(YEAR(FebSun1+28)=$A$1,MONTH(FebSun1+28)=2),FebSun1+28,"")</f>
        <v>42428</v>
      </c>
      <c r="E31" s="51">
        <f>IF(AND(YEAR(FebSun1+29)=$A$1,MONTH(FebSun1+29)=2),FebSun1+29,"")</f>
        <v>42429</v>
      </c>
      <c r="F31" s="51" t="str">
        <f>IF(AND(YEAR(FebSun1+30)=$A$1,MONTH(FebSun1+30)=2),FebSun1+30,"")</f>
        <v/>
      </c>
      <c r="G31" s="51" t="str">
        <f>IF(AND(YEAR(FebSun1+31)=$A$1,MONTH(FebSun1+31)=2),FebSun1+31,"")</f>
        <v/>
      </c>
      <c r="H31" s="51" t="str">
        <f>IF(AND(YEAR(FebSun1+32)=$A$1,MONTH(FebSun1+32)=2),FebSun1+32,"")</f>
        <v/>
      </c>
      <c r="I31" s="51" t="str">
        <f>IF(AND(YEAR(FebSun1+33)=$A$1,MONTH(FebSun1+33)=2),FebSun1+33,"")</f>
        <v/>
      </c>
      <c r="J31" s="51" t="str">
        <f>IF(AND(YEAR(FebSun1+34)=$A$1,MONTH(FebSun1+34)=2),FebSun1+34,"")</f>
        <v/>
      </c>
      <c r="K31" s="49"/>
      <c r="L31" s="84"/>
      <c r="M31" s="62"/>
      <c r="N31" s="51">
        <f>IF(AND(YEAR(MaySun1+28)=$A$1,MONTH(MaySun1+28)=5),MaySun1+28,"")</f>
        <v>42519</v>
      </c>
      <c r="O31" s="51">
        <f>IF(AND(YEAR(MaySun1+29)=$A$1,MONTH(MaySun1+29)=5),MaySun1+29,"")</f>
        <v>42520</v>
      </c>
      <c r="P31" s="51">
        <f>IF(AND(YEAR(MaySun1+30)=$A$1,MONTH(MaySun1+30)=5),MaySun1+30,"")</f>
        <v>42521</v>
      </c>
      <c r="Q31" s="51" t="str">
        <f>IF(AND(YEAR(MaySun1+31)=$A$1,MONTH(MaySun1+31)=5),MaySun1+31,"")</f>
        <v/>
      </c>
      <c r="R31" s="51" t="str">
        <f>IF(AND(YEAR(MaySun1+32)=$A$1,MONTH(MaySun1+32)=5),MaySun1+32,"")</f>
        <v/>
      </c>
      <c r="S31" s="51" t="str">
        <f>IF(AND(YEAR(MaySun1+33)=$A$1,MONTH(MaySun1+33)=5),MaySun1+33,"")</f>
        <v/>
      </c>
      <c r="T31" s="51" t="str">
        <f>IF(AND(YEAR(MaySun1+34)=$A$1,MONTH(MaySun1+34)=5),MaySun1+34,"")</f>
        <v/>
      </c>
      <c r="U31" s="83"/>
      <c r="V31" s="84"/>
      <c r="W31" s="62"/>
      <c r="X31" s="51">
        <f>IF(AND(YEAR(AugSun1+28)=$A$1,MONTH(AugSun1+28)=8),AugSun1+28,"")</f>
        <v>42610</v>
      </c>
      <c r="Y31" s="51">
        <f>IF(AND(YEAR(AugSun1+29)=$A$1,MONTH(AugSun1+29)=8),AugSun1+29,"")</f>
        <v>42611</v>
      </c>
      <c r="Z31" s="51">
        <f>IF(AND(YEAR(AugSun1+30)=$A$1,MONTH(AugSun1+30)=8),AugSun1+30,"")</f>
        <v>42612</v>
      </c>
      <c r="AA31" s="51">
        <f>IF(AND(YEAR(AugSun1+31)=$A$1,MONTH(AugSun1+31)=8),AugSun1+31,"")</f>
        <v>42613</v>
      </c>
      <c r="AB31" s="51" t="str">
        <f>IF(AND(YEAR(AugSun1+32)=$A$1,MONTH(AugSun1+32)=8),AugSun1+32,"")</f>
        <v/>
      </c>
      <c r="AC31" s="51" t="str">
        <f>IF(AND(YEAR(AugSun1+33)=$A$1,MONTH(AugSun1+33)=8),AugSun1+33,"")</f>
        <v/>
      </c>
      <c r="AD31" s="51" t="str">
        <f>IF(AND(YEAR(AugSun1+34)=$A$1,MONTH(AugSun1+34)=8),AugSun1+34,"")</f>
        <v/>
      </c>
      <c r="AE31" s="83"/>
      <c r="AF31" s="84"/>
      <c r="AG31" s="62"/>
      <c r="AH31" s="51">
        <f>IF(AND(YEAR(NovSun1+28)=$A$1,MONTH(NovSun1+28)=11),NovSun1+28,"")</f>
        <v>42701</v>
      </c>
      <c r="AI31" s="51">
        <f>IF(AND(YEAR(NovSun1+29)=$A$1,MONTH(NovSun1+29)=11),NovSun1+29,"")</f>
        <v>42702</v>
      </c>
      <c r="AJ31" s="51">
        <f>IF(AND(YEAR(NovSun1+30)=$A$1,MONTH(NovSun1+30)=11),NovSun1+30,"")</f>
        <v>42703</v>
      </c>
      <c r="AK31" s="51">
        <f>IF(AND(YEAR(NovSun1+31)=$A$1,MONTH(NovSun1+31)=11),NovSun1+31,"")</f>
        <v>42704</v>
      </c>
      <c r="AL31" s="51" t="str">
        <f>IF(AND(YEAR(NovSun1+32)=$A$1,MONTH(NovSun1+32)=11),NovSun1+32,"")</f>
        <v/>
      </c>
      <c r="AM31" s="51" t="str">
        <f>IF(AND(YEAR(NovSun1+33)=$A$1,MONTH(NovSun1+33)=11),NovSun1+33,"")</f>
        <v/>
      </c>
      <c r="AN31" s="51" t="str">
        <f>IF(AND(YEAR(NovSun1+34)=$A$1,MONTH(NovSun1+34)=11),NovSun1+34,"")</f>
        <v/>
      </c>
      <c r="AO31" s="45"/>
      <c r="AP31" s="16"/>
      <c r="AR31" s="6"/>
      <c r="AS31" s="6"/>
      <c r="AT31" s="6"/>
      <c r="AU31" s="6"/>
      <c r="AZ31" s="6">
        <v>13.5</v>
      </c>
    </row>
    <row r="32" spans="1:52" s="3" customFormat="1" ht="15.95" customHeight="1">
      <c r="A32" s="6"/>
      <c r="B32" s="63"/>
      <c r="C32" s="62"/>
      <c r="D32" s="52"/>
      <c r="E32" s="52"/>
      <c r="F32" s="53"/>
      <c r="G32" s="53"/>
      <c r="H32" s="53"/>
      <c r="I32" s="53"/>
      <c r="J32" s="53"/>
      <c r="K32" s="55" t="s">
        <v>21</v>
      </c>
      <c r="L32" s="84"/>
      <c r="M32" s="62"/>
      <c r="N32" s="52"/>
      <c r="O32" s="52"/>
      <c r="P32" s="52"/>
      <c r="Q32" s="52"/>
      <c r="R32" s="52"/>
      <c r="S32" s="52"/>
      <c r="T32" s="52"/>
      <c r="U32" s="83"/>
      <c r="V32" s="84"/>
      <c r="W32" s="62"/>
      <c r="X32" s="52"/>
      <c r="Y32" s="52"/>
      <c r="Z32" s="52"/>
      <c r="AA32" s="52"/>
      <c r="AB32" s="52"/>
      <c r="AC32" s="52"/>
      <c r="AD32" s="52"/>
      <c r="AE32" s="83"/>
      <c r="AF32" s="84"/>
      <c r="AG32" s="62"/>
      <c r="AH32" s="52"/>
      <c r="AI32" s="52"/>
      <c r="AJ32" s="52"/>
      <c r="AK32" s="52"/>
      <c r="AL32" s="53"/>
      <c r="AM32" s="53"/>
      <c r="AN32" s="53"/>
      <c r="AO32" s="45"/>
      <c r="AP32" s="40"/>
      <c r="AQ32" s="16"/>
      <c r="AR32" s="12"/>
      <c r="AS32" s="6"/>
      <c r="AT32" s="6"/>
      <c r="AU32" s="6"/>
      <c r="AZ32" s="6">
        <v>14</v>
      </c>
    </row>
    <row r="33" spans="2:52" s="41" customFormat="1" ht="15.95" customHeight="1" thickBot="1">
      <c r="B33" s="64"/>
      <c r="C33" s="65" t="s">
        <v>35</v>
      </c>
      <c r="D33" s="110">
        <f>COUNTIF(D24:J24,"AC")+COUNTIF(D26:J26,"AC")+COUNTIF(D28:J28,"AC")+COUNTIF(D30:J30,"AC")+COUNTIF(D32:J32,"AC")</f>
        <v>0</v>
      </c>
      <c r="E33" s="111" t="s">
        <v>2</v>
      </c>
      <c r="F33" s="110">
        <f>COUNTIF(D24:J24,"T")+COUNTIF(D26:J26,"T")+COUNTIF(D28:J28,"T")+COUNTIF(D30:J30,"T")+COUNTIF(D32:J32,"T")</f>
        <v>0</v>
      </c>
      <c r="G33" s="111" t="s">
        <v>20</v>
      </c>
      <c r="H33" s="110">
        <f>COUNTIF(D24:J24,"MP")+COUNTIF(D26:J26,"MP")+COUNTIF(D28:J28,"MP")+COUNTIF(D30:J30,"MP")+COUNTIF(D32:J32,"MP")</f>
        <v>0</v>
      </c>
      <c r="I33" s="111" t="s">
        <v>22</v>
      </c>
      <c r="J33" s="110">
        <f>COUNTIF(D24:J24,"A")+COUNTIF(D26:J26,"A")+COUNTIF(D28:J28,"A")+COUNTIF(D30:J30,"A")+COUNTIF(D32:J32,"A")</f>
        <v>0</v>
      </c>
      <c r="K33" s="54">
        <f>SUM((F33*0.5)+(H33*0.5)+(J33))</f>
        <v>0</v>
      </c>
      <c r="L33" s="16"/>
      <c r="M33" s="60"/>
      <c r="N33" s="51" t="str">
        <f>IF(AND(YEAR(MaySun1+35)=$A$1,MONTH(MaySun1+35)=5),MaySun1+35,"")</f>
        <v/>
      </c>
      <c r="O33" s="51" t="str">
        <f>IF(AND(YEAR(MaySun1+36)=$A$1,MONTH(MaySun1+36)=5),MaySun1+36,"")</f>
        <v/>
      </c>
      <c r="P33" s="51" t="str">
        <f>IF(AND(YEAR(MaySun1+37)=$A$1,MONTH(MaySun1+37)=5),MaySun1+37,"")</f>
        <v/>
      </c>
      <c r="Q33" s="51" t="str">
        <f>IF(AND(YEAR(MaySun1+38)=$A$1,MONTH(MaySun1+38)=5),MaySun1+38,"")</f>
        <v/>
      </c>
      <c r="R33" s="51" t="str">
        <f>IF(AND(YEAR(MaySun1+39)=$A$1,MONTH(MaySun1+39)=5),MaySun1+39,"")</f>
        <v/>
      </c>
      <c r="S33" s="51" t="str">
        <f>IF(AND(YEAR(MaySun1+40)=$A$1,MONTH(MaySun1+40)=5),MaySun1+40,"")</f>
        <v/>
      </c>
      <c r="T33" s="51" t="str">
        <f>IF(AND(YEAR(MaySun1+41)=$A$1,MONTH(MaySun1+41)=5),MaySun1+41,"")</f>
        <v/>
      </c>
      <c r="U33" s="49"/>
      <c r="V33" s="16"/>
      <c r="W33" s="60"/>
      <c r="X33" s="51" t="str">
        <f>IF(AND(YEAR(AugSun1+35)=$A$1,MONTH(AugSun1+35)=8),AugSun1+35,"")</f>
        <v/>
      </c>
      <c r="Y33" s="51" t="str">
        <f>IF(AND(YEAR(AugSun1+36)=$A$1,MONTH(AugSun1+36)=8),AugSun1+36,"")</f>
        <v/>
      </c>
      <c r="Z33" s="51" t="str">
        <f>IF(AND(YEAR(AugSun1+37)=$A$1,MONTH(AugSun1+37)=8),AugSun1+37,"")</f>
        <v/>
      </c>
      <c r="AA33" s="51" t="str">
        <f>IF(AND(YEAR(AugSun1+38)=$A$1,MONTH(AugSun1+38)=8),AugSun1+38,"")</f>
        <v/>
      </c>
      <c r="AB33" s="51" t="str">
        <f>IF(AND(YEAR(AugSun1+39)=$A$1,MONTH(AugSun1+39)=8),AugSun1+39,"")</f>
        <v/>
      </c>
      <c r="AC33" s="51" t="str">
        <f>IF(AND(YEAR(AugSun1+40)=$A$1,MONTH(AugSun1+40)=8),AugSun1+40,"")</f>
        <v/>
      </c>
      <c r="AD33" s="51" t="str">
        <f>IF(AND(YEAR(AugSun1+41)=$A$1,MONTH(AugSun1+41)=8),AugSun1+41,"")</f>
        <v/>
      </c>
      <c r="AE33" s="49"/>
      <c r="AF33" s="16"/>
      <c r="AG33" s="60"/>
      <c r="AH33" s="51" t="str">
        <f>IF(AND(YEAR(NovSun1+35)=$A$1,MONTH(NovSun1+35)=11),NovSun1+35,"")</f>
        <v/>
      </c>
      <c r="AI33" s="51" t="str">
        <f>IF(AND(YEAR(NovSun1+36)=$A$1,MONTH(NovSun1+36)=11),NovSun1+36,"")</f>
        <v/>
      </c>
      <c r="AJ33" s="51" t="str">
        <f>IF(AND(YEAR(NovSun1+37)=$A$1,MONTH(NovSun1+37)=11),NovSun1+37,"")</f>
        <v/>
      </c>
      <c r="AK33" s="51" t="str">
        <f>IF(AND(YEAR(NovSun1+38)=$A$1,MONTH(NovSun1+38)=11),NovSun1+38,"")</f>
        <v/>
      </c>
      <c r="AL33" s="51" t="str">
        <f>IF(AND(YEAR(NovSun1+39)=$A$1,MONTH(NovSun1+39)=11),NovSun1+39,"")</f>
        <v/>
      </c>
      <c r="AM33" s="51" t="str">
        <f>IF(AND(YEAR(NovSun1+40)=$A$1,MONTH(NovSun1+40)=11),NovSun1+40,"")</f>
        <v/>
      </c>
      <c r="AN33" s="51" t="str">
        <f>IF(AND(YEAR(NovSun1+41)=$A$1,MONTH(NovSun1+41)=11),NovSun1+41,"")</f>
        <v/>
      </c>
      <c r="AO33" s="44"/>
      <c r="AP33" s="6"/>
      <c r="AQ33" s="40"/>
      <c r="AZ33" s="41">
        <v>14.5</v>
      </c>
    </row>
    <row r="34" spans="1:52" s="3" customFormat="1" ht="15.95" customHeight="1" thickTop="1">
      <c r="A34" s="6"/>
      <c r="B34" s="68"/>
      <c r="C34" s="69"/>
      <c r="D34" s="113"/>
      <c r="E34" s="113"/>
      <c r="F34" s="113"/>
      <c r="G34" s="113"/>
      <c r="H34" s="113"/>
      <c r="I34" s="113"/>
      <c r="J34" s="113"/>
      <c r="K34" s="40"/>
      <c r="L34" s="16"/>
      <c r="M34" s="62"/>
      <c r="N34" s="52"/>
      <c r="O34" s="53"/>
      <c r="P34" s="53"/>
      <c r="Q34" s="53"/>
      <c r="R34" s="53"/>
      <c r="S34" s="53"/>
      <c r="T34" s="53"/>
      <c r="U34" s="55" t="s">
        <v>21</v>
      </c>
      <c r="V34" s="16"/>
      <c r="W34" s="62"/>
      <c r="X34" s="52"/>
      <c r="Y34" s="52"/>
      <c r="Z34" s="53"/>
      <c r="AA34" s="53"/>
      <c r="AB34" s="53"/>
      <c r="AC34" s="53"/>
      <c r="AD34" s="53"/>
      <c r="AE34" s="55" t="s">
        <v>21</v>
      </c>
      <c r="AF34" s="16"/>
      <c r="AG34" s="62"/>
      <c r="AH34" s="53"/>
      <c r="AI34" s="53"/>
      <c r="AJ34" s="53"/>
      <c r="AK34" s="53"/>
      <c r="AL34" s="53"/>
      <c r="AM34" s="53"/>
      <c r="AN34" s="53"/>
      <c r="AO34" s="55" t="s">
        <v>21</v>
      </c>
      <c r="AQ34" s="6"/>
      <c r="AZ34" s="18">
        <v>15</v>
      </c>
    </row>
    <row r="35" spans="1:47" s="6" customFormat="1" ht="15.95" customHeight="1" thickBot="1">
      <c r="A35" s="3"/>
      <c r="B35" s="64"/>
      <c r="C35" s="70"/>
      <c r="D35" s="70"/>
      <c r="E35" s="70"/>
      <c r="F35" s="70"/>
      <c r="G35" s="70"/>
      <c r="H35" s="70"/>
      <c r="I35" s="70"/>
      <c r="J35" s="70"/>
      <c r="K35" s="40"/>
      <c r="L35" s="85"/>
      <c r="M35" s="65" t="s">
        <v>35</v>
      </c>
      <c r="N35" s="114">
        <f>COUNTIF(N24:T24,"AC")+COUNTIF(N26:T26,"AC")+COUNTIF(N28:T28,"AC")+COUNTIF(N30:T30,"AC")+COUNTIF(N32:T32,"AC")+COUNTIF(N34:T34,"AC")</f>
        <v>0</v>
      </c>
      <c r="O35" s="115" t="s">
        <v>2</v>
      </c>
      <c r="P35" s="114">
        <f>COUNTIF(N24:T24,"T")+COUNTIF(N26:T26,"T")+COUNTIF(N28:T28,"T")+COUNTIF(N30:T30,"T")+COUNTIF(N32:T32,"T")+COUNTIF(N34:T34,"T")</f>
        <v>0</v>
      </c>
      <c r="Q35" s="115" t="s">
        <v>20</v>
      </c>
      <c r="R35" s="114">
        <f>COUNTIF(N24:T24,"MP")+COUNTIF(N26:T26,"MP")+COUNTIF(N28:T28,"MP")+COUNTIF(N30:T30,"MP")+COUNTIF(N32:T32,"MP")+COUNTIF(N34:T34,"MP")</f>
        <v>0</v>
      </c>
      <c r="S35" s="115" t="s">
        <v>22</v>
      </c>
      <c r="T35" s="114">
        <f>COUNTIF(N24:T24,"A")+COUNTIF(N26:T26,"A")+COUNTIF(N28:T28,"A")+COUNTIF(N30:T30,"A")+COUNTIF(N32:T32,"A")+COUNTIF(N34:T34,"A")</f>
        <v>0</v>
      </c>
      <c r="U35" s="54">
        <f>SUM((P35*0.5)+(R35*0.5)+(T35))</f>
        <v>0</v>
      </c>
      <c r="V35" s="85"/>
      <c r="W35" s="65" t="s">
        <v>35</v>
      </c>
      <c r="X35" s="114">
        <f>COUNTIF(X24:AD24,"AC")+COUNTIF(X26:AD26,"AC")+COUNTIF(X28:AD28,"AC")+COUNTIF(X30:AD30,"AC")+COUNTIF(X32:AD32,"AC")+COUNTIF(X34:AD34,"AC")</f>
        <v>0</v>
      </c>
      <c r="Y35" s="115" t="s">
        <v>2</v>
      </c>
      <c r="Z35" s="114">
        <f>COUNTIF(X24:AD24,"T")+COUNTIF(X26:AD26,"T")+COUNTIF(X28:AD28,"T")+COUNTIF(X30:AD30,"T")+COUNTIF(X32:AD32,"T")+COUNTIF(X34:AD34,"T")</f>
        <v>0</v>
      </c>
      <c r="AA35" s="115" t="s">
        <v>20</v>
      </c>
      <c r="AB35" s="114">
        <f>COUNTIF(X24:AD24,"MP")+COUNTIF(X26:AD26,"MP")+COUNTIF(X28:AD28,"MP")+COUNTIF(X30:AD30,"MP")+COUNTIF(X32:AD32,"MP")+COUNTIF(X34:AD34,"MP")</f>
        <v>0</v>
      </c>
      <c r="AC35" s="115" t="s">
        <v>22</v>
      </c>
      <c r="AD35" s="114">
        <f>COUNTIF(X24:AD24,"A")+COUNTIF(X26:AD26,"A")+COUNTIF(X28:AD28,"A")+COUNTIF(X30:AD30,"A")+COUNTIF(X32:AD32,"A")+COUNTIF(X34:AD34,"A")</f>
        <v>0</v>
      </c>
      <c r="AE35" s="54">
        <f>SUM((Z35*0.5)+(AB35*0.5)+(AD35))</f>
        <v>0</v>
      </c>
      <c r="AF35" s="85"/>
      <c r="AG35" s="65" t="s">
        <v>35</v>
      </c>
      <c r="AH35" s="114">
        <f>COUNTIF(AH24:AN24,"AC")+COUNTIF(AH26:AN26,"AC")+COUNTIF(AH28:AN28,"AC")+COUNTIF(AH30:AN30,"AC")+COUNTIF(AH32:AN32,"AC")+COUNTIF(AH34:AN34,"AC")</f>
        <v>0</v>
      </c>
      <c r="AI35" s="115" t="s">
        <v>2</v>
      </c>
      <c r="AJ35" s="114">
        <f>COUNTIF(AH24:AN24,"T")+COUNTIF(AH26:AN26,"T")+COUNTIF(AH28:AN28,"T")+COUNTIF(AH30:AN30,"T")+COUNTIF(AH32:AN32,"T")+COUNTIF(AH34:AN34,"T")</f>
        <v>0</v>
      </c>
      <c r="AK35" s="115" t="s">
        <v>20</v>
      </c>
      <c r="AL35" s="114">
        <f>COUNTIF(AH24:AN24,"MP")+COUNTIF(AH26:AN26,"MP")+COUNTIF(AH28:AN28,"MP")+COUNTIF(AH30:AN30,"MP")+COUNTIF(AH32:AN32,"MP")+COUNTIF(AH34:AN34,"MP")</f>
        <v>0</v>
      </c>
      <c r="AM35" s="115" t="s">
        <v>22</v>
      </c>
      <c r="AN35" s="114">
        <f>COUNTIF(AH24:AN24,"A")+COUNTIF(AH26:AN26,"A")+COUNTIF(AH28:AN28,"A")+COUNTIF(AH30:AN30,"A")+COUNTIF(AH32:AN32,"A")+COUNTIF(AH34:AN34,"A")</f>
        <v>0</v>
      </c>
      <c r="AO35" s="54">
        <f>SUM((AJ35*0.5)+(AL35*0.5)+(AN35))</f>
        <v>0</v>
      </c>
      <c r="AP35" s="3"/>
      <c r="AQ35" s="3"/>
      <c r="AR35" s="3"/>
      <c r="AS35" s="3"/>
      <c r="AT35" s="3"/>
      <c r="AU35" s="3"/>
    </row>
    <row r="36" spans="2:47" s="3" customFormat="1" ht="15.95" customHeight="1" thickBot="1" thickTop="1">
      <c r="B36" s="63"/>
      <c r="C36" s="70"/>
      <c r="D36" s="70"/>
      <c r="E36" s="70"/>
      <c r="F36" s="70"/>
      <c r="G36" s="70"/>
      <c r="H36" s="70"/>
      <c r="I36" s="70"/>
      <c r="J36" s="70"/>
      <c r="K36" s="40"/>
      <c r="L36" s="85"/>
      <c r="M36" s="66"/>
      <c r="N36" s="66"/>
      <c r="O36" s="66"/>
      <c r="P36" s="66"/>
      <c r="Q36" s="66"/>
      <c r="R36" s="66"/>
      <c r="S36" s="66"/>
      <c r="T36" s="66"/>
      <c r="U36" s="40"/>
      <c r="V36" s="85"/>
      <c r="W36" s="66"/>
      <c r="X36" s="66"/>
      <c r="Y36" s="66"/>
      <c r="Z36" s="66"/>
      <c r="AA36" s="66"/>
      <c r="AB36" s="66"/>
      <c r="AC36" s="66"/>
      <c r="AD36" s="66"/>
      <c r="AE36" s="40"/>
      <c r="AF36" s="85"/>
      <c r="AG36" s="66"/>
      <c r="AH36" s="66"/>
      <c r="AI36" s="66"/>
      <c r="AJ36" s="66"/>
      <c r="AK36" s="66"/>
      <c r="AL36" s="66"/>
      <c r="AM36" s="66"/>
      <c r="AN36" s="66"/>
      <c r="AO36" s="39"/>
      <c r="AR36" s="6"/>
      <c r="AS36" s="6"/>
      <c r="AT36" s="6"/>
      <c r="AU36" s="6"/>
    </row>
    <row r="37" spans="2:47" s="6" customFormat="1" ht="15.95" customHeight="1" thickTop="1">
      <c r="B37" s="64"/>
      <c r="C37" s="71"/>
      <c r="D37" s="116"/>
      <c r="E37" s="116"/>
      <c r="F37" s="116"/>
      <c r="G37" s="116"/>
      <c r="H37" s="116"/>
      <c r="I37" s="116"/>
      <c r="J37" s="116"/>
      <c r="K37" s="88"/>
      <c r="L37" s="85"/>
      <c r="M37" s="67"/>
      <c r="N37" s="117"/>
      <c r="O37" s="117"/>
      <c r="P37" s="117"/>
      <c r="Q37" s="117"/>
      <c r="R37" s="117"/>
      <c r="S37" s="117"/>
      <c r="T37" s="117"/>
      <c r="U37" s="88"/>
      <c r="V37" s="85"/>
      <c r="W37" s="67"/>
      <c r="X37" s="117"/>
      <c r="Y37" s="117"/>
      <c r="Z37" s="117"/>
      <c r="AA37" s="117"/>
      <c r="AB37" s="117"/>
      <c r="AC37" s="117"/>
      <c r="AD37" s="117"/>
      <c r="AE37" s="88"/>
      <c r="AF37" s="85"/>
      <c r="AG37" s="67"/>
      <c r="AH37" s="117"/>
      <c r="AI37" s="117"/>
      <c r="AJ37" s="117"/>
      <c r="AK37" s="117"/>
      <c r="AL37" s="117"/>
      <c r="AM37" s="117"/>
      <c r="AN37" s="117"/>
      <c r="AO37" s="47"/>
      <c r="AR37" s="3"/>
      <c r="AS37" s="3"/>
      <c r="AT37" s="3"/>
      <c r="AU37" s="3"/>
    </row>
    <row r="38" spans="2:47" s="3" customFormat="1" ht="15.95" customHeight="1">
      <c r="B38" s="63"/>
      <c r="C38" s="62"/>
      <c r="D38" s="133" t="s">
        <v>7</v>
      </c>
      <c r="E38" s="134"/>
      <c r="F38" s="134"/>
      <c r="G38" s="134"/>
      <c r="H38" s="134"/>
      <c r="I38" s="134"/>
      <c r="J38" s="135"/>
      <c r="K38" s="86"/>
      <c r="L38" s="87"/>
      <c r="M38" s="62"/>
      <c r="N38" s="133" t="s">
        <v>10</v>
      </c>
      <c r="O38" s="134"/>
      <c r="P38" s="134"/>
      <c r="Q38" s="134"/>
      <c r="R38" s="134"/>
      <c r="S38" s="134"/>
      <c r="T38" s="135"/>
      <c r="U38" s="86"/>
      <c r="V38" s="87"/>
      <c r="W38" s="62"/>
      <c r="X38" s="133" t="s">
        <v>12</v>
      </c>
      <c r="Y38" s="134"/>
      <c r="Z38" s="134"/>
      <c r="AA38" s="134"/>
      <c r="AB38" s="134"/>
      <c r="AC38" s="134"/>
      <c r="AD38" s="135"/>
      <c r="AE38" s="91"/>
      <c r="AF38" s="87"/>
      <c r="AG38" s="62"/>
      <c r="AH38" s="133" t="s">
        <v>16</v>
      </c>
      <c r="AI38" s="134"/>
      <c r="AJ38" s="134"/>
      <c r="AK38" s="134"/>
      <c r="AL38" s="134"/>
      <c r="AM38" s="134"/>
      <c r="AN38" s="135"/>
      <c r="AO38" s="45"/>
      <c r="AR38" s="6"/>
      <c r="AS38" s="6"/>
      <c r="AT38" s="6"/>
      <c r="AU38" s="6"/>
    </row>
    <row r="39" spans="2:47" s="6" customFormat="1" ht="15.95" customHeight="1">
      <c r="B39" s="64"/>
      <c r="C39" s="60"/>
      <c r="D39" s="107" t="s">
        <v>0</v>
      </c>
      <c r="E39" s="107" t="s">
        <v>1</v>
      </c>
      <c r="F39" s="107" t="s">
        <v>2</v>
      </c>
      <c r="G39" s="107" t="s">
        <v>3</v>
      </c>
      <c r="H39" s="107" t="s">
        <v>2</v>
      </c>
      <c r="I39" s="107" t="s">
        <v>4</v>
      </c>
      <c r="J39" s="107" t="s">
        <v>0</v>
      </c>
      <c r="K39" s="81"/>
      <c r="L39" s="82"/>
      <c r="M39" s="60"/>
      <c r="N39" s="107" t="s">
        <v>0</v>
      </c>
      <c r="O39" s="107" t="s">
        <v>1</v>
      </c>
      <c r="P39" s="107" t="s">
        <v>2</v>
      </c>
      <c r="Q39" s="107" t="s">
        <v>3</v>
      </c>
      <c r="R39" s="107" t="s">
        <v>2</v>
      </c>
      <c r="S39" s="107" t="s">
        <v>4</v>
      </c>
      <c r="T39" s="107" t="s">
        <v>0</v>
      </c>
      <c r="U39" s="81"/>
      <c r="V39" s="82"/>
      <c r="W39" s="60"/>
      <c r="X39" s="107" t="s">
        <v>0</v>
      </c>
      <c r="Y39" s="107" t="s">
        <v>1</v>
      </c>
      <c r="Z39" s="107" t="s">
        <v>2</v>
      </c>
      <c r="AA39" s="107" t="s">
        <v>3</v>
      </c>
      <c r="AB39" s="107" t="s">
        <v>2</v>
      </c>
      <c r="AC39" s="107" t="s">
        <v>4</v>
      </c>
      <c r="AD39" s="107" t="s">
        <v>0</v>
      </c>
      <c r="AE39" s="81"/>
      <c r="AF39" s="82"/>
      <c r="AG39" s="60"/>
      <c r="AH39" s="107" t="s">
        <v>0</v>
      </c>
      <c r="AI39" s="107" t="s">
        <v>1</v>
      </c>
      <c r="AJ39" s="107" t="s">
        <v>2</v>
      </c>
      <c r="AK39" s="107" t="s">
        <v>3</v>
      </c>
      <c r="AL39" s="107" t="s">
        <v>2</v>
      </c>
      <c r="AM39" s="107" t="s">
        <v>4</v>
      </c>
      <c r="AN39" s="107" t="s">
        <v>0</v>
      </c>
      <c r="AO39" s="44"/>
      <c r="AR39" s="3"/>
      <c r="AS39" s="3"/>
      <c r="AT39" s="3"/>
      <c r="AU39" s="3"/>
    </row>
    <row r="40" spans="2:47" s="3" customFormat="1" ht="15.95" customHeight="1">
      <c r="B40" s="63"/>
      <c r="C40" s="60"/>
      <c r="D40" s="51" t="str">
        <f>IF(AND(YEAR(MarSun1)=$A$1,MONTH(MarSun1)=3),MarSun1,"")</f>
        <v/>
      </c>
      <c r="E40" s="51" t="str">
        <f>IF(AND(YEAR(MarSun1+1)=$A$1,MONTH(MarSun1+1)=3),MarSun1+1,"")</f>
        <v/>
      </c>
      <c r="F40" s="51">
        <f>IF(AND(YEAR(MarSun1+2)=$A$1,MONTH(MarSun1+2)=3),MarSun1+2,"")</f>
        <v>42430</v>
      </c>
      <c r="G40" s="51">
        <f>IF(AND(YEAR(MarSun1+3)=$A$1,MONTH(MarSun1+3)=3),MarSun1+3,"")</f>
        <v>42431</v>
      </c>
      <c r="H40" s="51">
        <f>IF(AND(YEAR(MarSun1+4)=$A$1,MONTH(MarSun1+4)=3),MarSun1+4,"")</f>
        <v>42432</v>
      </c>
      <c r="I40" s="51">
        <f>IF(AND(YEAR(MarSun1+5)=$A$1,MONTH(MarSun1+5)=3),MarSun1+5,"")</f>
        <v>42433</v>
      </c>
      <c r="J40" s="51">
        <f>IF(AND(YEAR(MarSun1+6)=$A$1,MONTH(MarSun1+6)=3),MarSun1+6,"")</f>
        <v>42434</v>
      </c>
      <c r="K40" s="49"/>
      <c r="L40" s="16"/>
      <c r="M40" s="60"/>
      <c r="N40" s="51" t="str">
        <f>IF(AND(YEAR(JunSun1)=$A$1,MONTH(JunSun1)=6),JunSun1,"")</f>
        <v/>
      </c>
      <c r="O40" s="51" t="str">
        <f>IF(AND(YEAR(JunSun1+1)=$A$1,MONTH(JunSun1+1)=6),JunSun1+1,"")</f>
        <v/>
      </c>
      <c r="P40" s="51" t="str">
        <f>IF(AND(YEAR(JunSun1+2)=$A$1,MONTH(JunSun1+2)=6),JunSun1+2,"")</f>
        <v/>
      </c>
      <c r="Q40" s="51">
        <f>IF(AND(YEAR(JunSun1+3)=$A$1,MONTH(JunSun1+3)=6),JunSun1+3,"")</f>
        <v>42522</v>
      </c>
      <c r="R40" s="51">
        <f>IF(AND(YEAR(JunSun1+4)=$A$1,MONTH(JunSun1+4)=6),JunSun1+4,"")</f>
        <v>42523</v>
      </c>
      <c r="S40" s="51">
        <f>IF(AND(YEAR(JunSun1+5)=$A$1,MONTH(JunSun1+5)=6),JunSun1+5,"")</f>
        <v>42524</v>
      </c>
      <c r="T40" s="51">
        <f>IF(AND(YEAR(JunSun1+6)=$A$1,MONTH(JunSun1+6)=6),JunSun1+6,"")</f>
        <v>42525</v>
      </c>
      <c r="U40" s="49"/>
      <c r="V40" s="16"/>
      <c r="W40" s="60"/>
      <c r="X40" s="51" t="str">
        <f>IF(AND(YEAR(SepSun1)=$A$1,MONTH(SepSun1)=9),SepSun1,"")</f>
        <v/>
      </c>
      <c r="Y40" s="51" t="str">
        <f>IF(AND(YEAR(SepSun1+1)=$A$1,MONTH(SepSun1+1)=9),SepSun1+1,"")</f>
        <v/>
      </c>
      <c r="Z40" s="51" t="str">
        <f>IF(AND(YEAR(SepSun1+2)=$A$1,MONTH(SepSun1+2)=9),SepSun1+2,"")</f>
        <v/>
      </c>
      <c r="AA40" s="51" t="str">
        <f>IF(AND(YEAR(SepSun1+3)=$A$1,MONTH(SepSun1+3)=9),SepSun1+3,"")</f>
        <v/>
      </c>
      <c r="AB40" s="51">
        <f>IF(AND(YEAR(SepSun1+4)=$A$1,MONTH(SepSun1+4)=9),SepSun1+4,"")</f>
        <v>42614</v>
      </c>
      <c r="AC40" s="51">
        <f>IF(AND(YEAR(SepSun1+5)=$A$1,MONTH(SepSun1+5)=9),SepSun1+5,"")</f>
        <v>42615</v>
      </c>
      <c r="AD40" s="51">
        <f>IF(AND(YEAR(SepSun1+6)=$A$1,MONTH(SepSun1+6)=9),SepSun1+6,"")</f>
        <v>42616</v>
      </c>
      <c r="AE40" s="49"/>
      <c r="AF40" s="16"/>
      <c r="AG40" s="60"/>
      <c r="AH40" s="51" t="str">
        <f>IF(AND(YEAR(DecSun1)=$A$1,MONTH(DecSun1)=12),DecSun1,"")</f>
        <v/>
      </c>
      <c r="AI40" s="51" t="str">
        <f>IF(AND(YEAR(DecSun1+1)=$A$1,MONTH(DecSun1+1)=12),DecSun1+1,"")</f>
        <v/>
      </c>
      <c r="AJ40" s="51" t="str">
        <f>IF(AND(YEAR(DecSun1+2)=$A$1,MONTH(DecSun1+2)=12),DecSun1+2,"")</f>
        <v/>
      </c>
      <c r="AK40" s="51" t="str">
        <f>IF(AND(YEAR(DecSun1+3)=$A$1,MONTH(DecSun1+3)=12),DecSun1+3,"")</f>
        <v/>
      </c>
      <c r="AL40" s="51">
        <f>IF(AND(YEAR(DecSun1+4)=$A$1,MONTH(DecSun1+4)=12),DecSun1+4,"")</f>
        <v>42705</v>
      </c>
      <c r="AM40" s="51">
        <f>IF(AND(YEAR(DecSun1+5)=$A$1,MONTH(DecSun1+5)=12),DecSun1+5,"")</f>
        <v>42706</v>
      </c>
      <c r="AN40" s="51">
        <f>IF(AND(YEAR(DecSun1+6)=$A$1,MONTH(DecSun1+6)=12),DecSun1+6,"")</f>
        <v>42707</v>
      </c>
      <c r="AO40" s="44"/>
      <c r="AR40" s="6"/>
      <c r="AS40" s="6"/>
      <c r="AT40" s="6"/>
      <c r="AU40" s="6"/>
    </row>
    <row r="41" spans="2:47" s="6" customFormat="1" ht="15.95" customHeight="1">
      <c r="B41" s="64"/>
      <c r="C41" s="62"/>
      <c r="D41" s="52"/>
      <c r="E41" s="52"/>
      <c r="F41" s="52"/>
      <c r="G41" s="52"/>
      <c r="H41" s="52"/>
      <c r="I41" s="52"/>
      <c r="J41" s="52"/>
      <c r="K41" s="83"/>
      <c r="L41" s="84"/>
      <c r="M41" s="62"/>
      <c r="N41" s="53"/>
      <c r="O41" s="52"/>
      <c r="P41" s="52"/>
      <c r="Q41" s="52"/>
      <c r="R41" s="52"/>
      <c r="S41" s="52"/>
      <c r="T41" s="52"/>
      <c r="U41" s="83"/>
      <c r="V41" s="84"/>
      <c r="W41" s="62"/>
      <c r="X41" s="53"/>
      <c r="Y41" s="53"/>
      <c r="Z41" s="52"/>
      <c r="AA41" s="52"/>
      <c r="AB41" s="52"/>
      <c r="AC41" s="52"/>
      <c r="AD41" s="52"/>
      <c r="AE41" s="83"/>
      <c r="AF41" s="84"/>
      <c r="AG41" s="62"/>
      <c r="AH41" s="53"/>
      <c r="AI41" s="53"/>
      <c r="AJ41" s="52"/>
      <c r="AK41" s="52"/>
      <c r="AL41" s="52"/>
      <c r="AM41" s="52"/>
      <c r="AN41" s="52"/>
      <c r="AO41" s="45"/>
      <c r="AR41" s="3"/>
      <c r="AS41" s="3"/>
      <c r="AT41" s="3"/>
      <c r="AU41" s="3"/>
    </row>
    <row r="42" spans="2:47" s="3" customFormat="1" ht="15.95" customHeight="1">
      <c r="B42" s="63"/>
      <c r="C42" s="60"/>
      <c r="D42" s="51">
        <f>IF(AND(YEAR(MarSun1+7)=$A$1,MONTH(MarSun1+7)=3),MarSun1+7,"")</f>
        <v>42435</v>
      </c>
      <c r="E42" s="51">
        <f>IF(AND(YEAR(MarSun1+8)=$A$1,MONTH(MarSun1+8)=3),MarSun1+8,"")</f>
        <v>42436</v>
      </c>
      <c r="F42" s="51">
        <f>IF(AND(YEAR(MarSun1+9)=$A$1,MONTH(MarSun1+9)=3),MarSun1+9,"")</f>
        <v>42437</v>
      </c>
      <c r="G42" s="51">
        <f>IF(AND(YEAR(MarSun1+10)=$A$1,MONTH(MarSun1+10)=3),MarSun1+10,"")</f>
        <v>42438</v>
      </c>
      <c r="H42" s="51">
        <f>IF(AND(YEAR(MarSun1+11)=$A$1,MONTH(MarSun1+11)=3),MarSun1+11,"")</f>
        <v>42439</v>
      </c>
      <c r="I42" s="51">
        <f>IF(AND(YEAR(MarSun1+12)=$A$1,MONTH(MarSun1+12)=3),MarSun1+12,"")</f>
        <v>42440</v>
      </c>
      <c r="J42" s="51">
        <f>IF(AND(YEAR(MarSun1+13)=$A$1,MONTH(MarSun1+13)=3),MarSun1+13,"")</f>
        <v>42441</v>
      </c>
      <c r="K42" s="49"/>
      <c r="L42" s="16"/>
      <c r="M42" s="60"/>
      <c r="N42" s="51">
        <f>IF(AND(YEAR(JunSun1+7)=$A$1,MONTH(JunSun1+7)=6),JunSun1+7,"")</f>
        <v>42526</v>
      </c>
      <c r="O42" s="51">
        <f>IF(AND(YEAR(JunSun1+8)=$A$1,MONTH(JunSun1+8)=6),JunSun1+8,"")</f>
        <v>42527</v>
      </c>
      <c r="P42" s="51">
        <f>IF(AND(YEAR(JunSun1+9)=$A$1,MONTH(JunSun1+9)=6),JunSun1+9,"")</f>
        <v>42528</v>
      </c>
      <c r="Q42" s="51">
        <f>IF(AND(YEAR(JunSun1+10)=$A$1,MONTH(JunSun1+10)=6),JunSun1+10,"")</f>
        <v>42529</v>
      </c>
      <c r="R42" s="51">
        <f>IF(AND(YEAR(JunSun1+11)=$A$1,MONTH(JunSun1+11)=6),JunSun1+11,"")</f>
        <v>42530</v>
      </c>
      <c r="S42" s="51">
        <f>IF(AND(YEAR(JunSun1+12)=$A$1,MONTH(JunSun1+12)=6),JunSun1+12,"")</f>
        <v>42531</v>
      </c>
      <c r="T42" s="51">
        <f>IF(AND(YEAR(JunSun1+13)=$A$1,MONTH(JunSun1+13)=6),JunSun1+13,"")</f>
        <v>42532</v>
      </c>
      <c r="U42" s="49"/>
      <c r="V42" s="16"/>
      <c r="W42" s="60"/>
      <c r="X42" s="51">
        <f>IF(AND(YEAR(SepSun1+7)=$A$1,MONTH(SepSun1+7)=9),SepSun1+7,"")</f>
        <v>42617</v>
      </c>
      <c r="Y42" s="51">
        <f>IF(AND(YEAR(SepSun1+8)=$A$1,MONTH(SepSun1+8)=9),SepSun1+8,"")</f>
        <v>42618</v>
      </c>
      <c r="Z42" s="51">
        <f>IF(AND(YEAR(SepSun1+9)=$A$1,MONTH(SepSun1+9)=9),SepSun1+9,"")</f>
        <v>42619</v>
      </c>
      <c r="AA42" s="51">
        <f>IF(AND(YEAR(SepSun1+10)=$A$1,MONTH(SepSun1+10)=9),SepSun1+10,"")</f>
        <v>42620</v>
      </c>
      <c r="AB42" s="51">
        <f>IF(AND(YEAR(SepSun1+11)=$A$1,MONTH(SepSun1+11)=9),SepSun1+11,"")</f>
        <v>42621</v>
      </c>
      <c r="AC42" s="51">
        <f>IF(AND(YEAR(SepSun1+12)=$A$1,MONTH(SepSun1+12)=9),SepSun1+12,"")</f>
        <v>42622</v>
      </c>
      <c r="AD42" s="51">
        <f>IF(AND(YEAR(SepSun1+13)=$A$1,MONTH(SepSun1+13)=9),SepSun1+13,"")</f>
        <v>42623</v>
      </c>
      <c r="AE42" s="49"/>
      <c r="AF42" s="16"/>
      <c r="AG42" s="60"/>
      <c r="AH42" s="51">
        <f>IF(AND(YEAR(DecSun1+7)=$A$1,MONTH(DecSun1+7)=12),DecSun1+7,"")</f>
        <v>42708</v>
      </c>
      <c r="AI42" s="51">
        <f>IF(AND(YEAR(DecSun1+8)=$A$1,MONTH(DecSun1+8)=12),DecSun1+8,"")</f>
        <v>42709</v>
      </c>
      <c r="AJ42" s="51">
        <f>IF(AND(YEAR(DecSun1+9)=$A$1,MONTH(DecSun1+9)=12),DecSun1+9,"")</f>
        <v>42710</v>
      </c>
      <c r="AK42" s="51">
        <f>IF(AND(YEAR(DecSun1+10)=$A$1,MONTH(DecSun1+10)=12),DecSun1+10,"")</f>
        <v>42711</v>
      </c>
      <c r="AL42" s="51">
        <f>IF(AND(YEAR(DecSun1+11)=$A$1,MONTH(DecSun1+11)=12),DecSun1+11,"")</f>
        <v>42712</v>
      </c>
      <c r="AM42" s="51">
        <f>IF(AND(YEAR(DecSun1+12)=$A$1,MONTH(DecSun1+12)=12),DecSun1+12,"")</f>
        <v>42713</v>
      </c>
      <c r="AN42" s="51">
        <f>IF(AND(YEAR(DecSun1+13)=$A$1,MONTH(DecSun1+13)=12),DecSun1+13,"")</f>
        <v>42714</v>
      </c>
      <c r="AO42" s="44"/>
      <c r="AR42" s="6"/>
      <c r="AS42" s="6"/>
      <c r="AT42" s="6"/>
      <c r="AU42" s="6"/>
    </row>
    <row r="43" spans="2:47" s="6" customFormat="1" ht="15.95" customHeight="1">
      <c r="B43" s="64"/>
      <c r="C43" s="62"/>
      <c r="D43" s="52"/>
      <c r="E43" s="52"/>
      <c r="F43" s="52"/>
      <c r="G43" s="52"/>
      <c r="H43" s="52"/>
      <c r="I43" s="52"/>
      <c r="J43" s="52"/>
      <c r="K43" s="83"/>
      <c r="L43" s="84"/>
      <c r="M43" s="62"/>
      <c r="N43" s="52"/>
      <c r="O43" s="52"/>
      <c r="P43" s="52"/>
      <c r="Q43" s="52"/>
      <c r="R43" s="52"/>
      <c r="S43" s="52"/>
      <c r="T43" s="52"/>
      <c r="U43" s="83"/>
      <c r="V43" s="84"/>
      <c r="W43" s="62"/>
      <c r="X43" s="52"/>
      <c r="Y43" s="52"/>
      <c r="Z43" s="52"/>
      <c r="AA43" s="52"/>
      <c r="AB43" s="52"/>
      <c r="AC43" s="52"/>
      <c r="AD43" s="52"/>
      <c r="AE43" s="83"/>
      <c r="AF43" s="84"/>
      <c r="AG43" s="62"/>
      <c r="AH43" s="52"/>
      <c r="AI43" s="52"/>
      <c r="AJ43" s="52"/>
      <c r="AK43" s="52"/>
      <c r="AL43" s="52"/>
      <c r="AM43" s="52"/>
      <c r="AN43" s="52"/>
      <c r="AO43" s="45"/>
      <c r="AR43" s="3"/>
      <c r="AS43" s="3"/>
      <c r="AT43" s="3"/>
      <c r="AU43" s="3"/>
    </row>
    <row r="44" spans="1:47" ht="15.95" customHeight="1">
      <c r="A44" s="3"/>
      <c r="B44" s="63"/>
      <c r="C44" s="60"/>
      <c r="D44" s="51">
        <f>IF(AND(YEAR(MarSun1+14)=$A$1,MONTH(MarSun1+14)=3),MarSun1+14,"")</f>
        <v>42442</v>
      </c>
      <c r="E44" s="51">
        <f>IF(AND(YEAR(MarSun1+15)=$A$1,MONTH(MarSun1+15)=3),MarSun1+15,"")</f>
        <v>42443</v>
      </c>
      <c r="F44" s="51">
        <f>IF(AND(YEAR(MarSun1+16)=$A$1,MONTH(MarSun1+16)=3),MarSun1+16,"")</f>
        <v>42444</v>
      </c>
      <c r="G44" s="51">
        <f>IF(AND(YEAR(MarSun1+17)=$A$1,MONTH(MarSun1+17)=3),MarSun1+17,"")</f>
        <v>42445</v>
      </c>
      <c r="H44" s="51">
        <f>IF(AND(YEAR(MarSun1+18)=$A$1,MONTH(MarSun1+18)=3),MarSun1+18,"")</f>
        <v>42446</v>
      </c>
      <c r="I44" s="51">
        <f>IF(AND(YEAR(MarSun1+19)=$A$1,MONTH(MarSun1+19)=3),MarSun1+19,"")</f>
        <v>42447</v>
      </c>
      <c r="J44" s="51">
        <f>IF(AND(YEAR(MarSun1+20)=$A$1,MONTH(MarSun1+20)=3),MarSun1+20,"")</f>
        <v>42448</v>
      </c>
      <c r="K44" s="49"/>
      <c r="L44" s="16"/>
      <c r="M44" s="60"/>
      <c r="N44" s="51">
        <f>IF(AND(YEAR(JunSun1+14)=$A$1,MONTH(JunSun1+14)=6),JunSun1+14,"")</f>
        <v>42533</v>
      </c>
      <c r="O44" s="51">
        <f>IF(AND(YEAR(JunSun1+15)=$A$1,MONTH(JunSun1+15)=6),JunSun1+15,"")</f>
        <v>42534</v>
      </c>
      <c r="P44" s="51">
        <f>IF(AND(YEAR(JunSun1+16)=$A$1,MONTH(JunSun1+16)=6),JunSun1+16,"")</f>
        <v>42535</v>
      </c>
      <c r="Q44" s="51">
        <f>IF(AND(YEAR(JunSun1+17)=$A$1,MONTH(JunSun1+17)=6),JunSun1+17,"")</f>
        <v>42536</v>
      </c>
      <c r="R44" s="51">
        <f>IF(AND(YEAR(JunSun1+18)=$A$1,MONTH(JunSun1+18)=6),JunSun1+18,"")</f>
        <v>42537</v>
      </c>
      <c r="S44" s="51">
        <f>IF(AND(YEAR(JunSun1+19)=$A$1,MONTH(JunSun1+19)=6),JunSun1+19,"")</f>
        <v>42538</v>
      </c>
      <c r="T44" s="51">
        <f>IF(AND(YEAR(JunSun1+20)=$A$1,MONTH(JunSun1+20)=6),JunSun1+20,"")</f>
        <v>42539</v>
      </c>
      <c r="U44" s="49"/>
      <c r="V44" s="16"/>
      <c r="W44" s="60"/>
      <c r="X44" s="51">
        <f>IF(AND(YEAR(SepSun1+14)=$A$1,MONTH(SepSun1+14)=9),SepSun1+14,"")</f>
        <v>42624</v>
      </c>
      <c r="Y44" s="51">
        <f>IF(AND(YEAR(SepSun1+15)=$A$1,MONTH(SepSun1+15)=9),SepSun1+15,"")</f>
        <v>42625</v>
      </c>
      <c r="Z44" s="51">
        <f>IF(AND(YEAR(SepSun1+16)=$A$1,MONTH(SepSun1+16)=9),SepSun1+16,"")</f>
        <v>42626</v>
      </c>
      <c r="AA44" s="51">
        <f>IF(AND(YEAR(SepSun1+17)=$A$1,MONTH(SepSun1+17)=9),SepSun1+17,"")</f>
        <v>42627</v>
      </c>
      <c r="AB44" s="51">
        <f>IF(AND(YEAR(SepSun1+18)=$A$1,MONTH(SepSun1+18)=9),SepSun1+18,"")</f>
        <v>42628</v>
      </c>
      <c r="AC44" s="51">
        <f>IF(AND(YEAR(SepSun1+19)=$A$1,MONTH(SepSun1+19)=9),SepSun1+19,"")</f>
        <v>42629</v>
      </c>
      <c r="AD44" s="51">
        <f>IF(AND(YEAR(SepSun1+20)=$A$1,MONTH(SepSun1+20)=9),SepSun1+20,"")</f>
        <v>42630</v>
      </c>
      <c r="AE44" s="49"/>
      <c r="AF44" s="16"/>
      <c r="AG44" s="60"/>
      <c r="AH44" s="51">
        <f>IF(AND(YEAR(DecSun1+14)=$A$1,MONTH(DecSun1+14)=12),DecSun1+14,"")</f>
        <v>42715</v>
      </c>
      <c r="AI44" s="51">
        <f>IF(AND(YEAR(DecSun1+15)=$A$1,MONTH(DecSun1+15)=12),DecSun1+15,"")</f>
        <v>42716</v>
      </c>
      <c r="AJ44" s="51">
        <f>IF(AND(YEAR(DecSun1+16)=$A$1,MONTH(DecSun1+16)=12),DecSun1+16,"")</f>
        <v>42717</v>
      </c>
      <c r="AK44" s="51">
        <f>IF(AND(YEAR(DecSun1+17)=$A$1,MONTH(DecSun1+17)=12),DecSun1+17,"")</f>
        <v>42718</v>
      </c>
      <c r="AL44" s="51">
        <f>IF(AND(YEAR(DecSun1+18)=$A$1,MONTH(DecSun1+18)=12),DecSun1+18,"")</f>
        <v>42719</v>
      </c>
      <c r="AM44" s="51">
        <f>IF(AND(YEAR(DecSun1+19)=$A$1,MONTH(DecSun1+19)=12),DecSun1+19,"")</f>
        <v>42720</v>
      </c>
      <c r="AN44" s="51">
        <f>IF(AND(YEAR(DecSun1+20)=$A$1,MONTH(DecSun1+20)=12),DecSun1+20,"")</f>
        <v>42721</v>
      </c>
      <c r="AO44" s="44"/>
      <c r="AP44" s="3"/>
      <c r="AQ44" s="3"/>
      <c r="AR44" s="6"/>
      <c r="AS44" s="6"/>
      <c r="AT44" s="6"/>
      <c r="AU44" s="6"/>
    </row>
    <row r="45" spans="1:47" ht="15.95" customHeight="1">
      <c r="A45" s="6"/>
      <c r="B45" s="64"/>
      <c r="C45" s="62"/>
      <c r="D45" s="52"/>
      <c r="E45" s="52"/>
      <c r="F45" s="52"/>
      <c r="G45" s="52"/>
      <c r="H45" s="52"/>
      <c r="I45" s="52"/>
      <c r="J45" s="52"/>
      <c r="K45" s="83"/>
      <c r="L45" s="84"/>
      <c r="M45" s="62"/>
      <c r="N45" s="52"/>
      <c r="O45" s="52"/>
      <c r="P45" s="52"/>
      <c r="Q45" s="52"/>
      <c r="R45" s="52"/>
      <c r="S45" s="52"/>
      <c r="T45" s="52"/>
      <c r="U45" s="83"/>
      <c r="V45" s="84"/>
      <c r="W45" s="62"/>
      <c r="X45" s="52"/>
      <c r="Y45" s="52"/>
      <c r="Z45" s="52"/>
      <c r="AA45" s="52"/>
      <c r="AB45" s="52"/>
      <c r="AC45" s="52"/>
      <c r="AD45" s="52"/>
      <c r="AE45" s="83"/>
      <c r="AF45" s="84"/>
      <c r="AG45" s="62"/>
      <c r="AH45" s="52"/>
      <c r="AI45" s="52"/>
      <c r="AJ45" s="52"/>
      <c r="AK45" s="52"/>
      <c r="AL45" s="52"/>
      <c r="AM45" s="52"/>
      <c r="AN45" s="52"/>
      <c r="AO45" s="45"/>
      <c r="AP45" s="16"/>
      <c r="AQ45" s="6"/>
      <c r="AR45" s="3"/>
      <c r="AS45" s="3"/>
      <c r="AT45" s="3"/>
      <c r="AU45" s="3"/>
    </row>
    <row r="46" spans="1:47" ht="15.95" customHeight="1">
      <c r="A46" s="3"/>
      <c r="B46" s="63"/>
      <c r="C46" s="60"/>
      <c r="D46" s="51">
        <f>IF(AND(YEAR(MarSun1+21)=$A$1,MONTH(MarSun1+21)=3),MarSun1+21,"")</f>
        <v>42449</v>
      </c>
      <c r="E46" s="51">
        <f>IF(AND(YEAR(MarSun1+22)=$A$1,MONTH(MarSun1+22)=3),MarSun1+22,"")</f>
        <v>42450</v>
      </c>
      <c r="F46" s="51">
        <f>IF(AND(YEAR(MarSun1+23)=$A$1,MONTH(MarSun1+23)=3),MarSun1+23,"")</f>
        <v>42451</v>
      </c>
      <c r="G46" s="51">
        <f>IF(AND(YEAR(MarSun1+24)=$A$1,MONTH(MarSun1+24)=3),MarSun1+24,"")</f>
        <v>42452</v>
      </c>
      <c r="H46" s="51">
        <f>IF(AND(YEAR(MarSun1+25)=$A$1,MONTH(MarSun1+25)=3),MarSun1+25,"")</f>
        <v>42453</v>
      </c>
      <c r="I46" s="51">
        <f>IF(AND(YEAR(MarSun1+26)=$A$1,MONTH(MarSun1+26)=3),MarSun1+26,"")</f>
        <v>42454</v>
      </c>
      <c r="J46" s="51">
        <f>IF(AND(YEAR(MarSun1+27)=$A$1,MONTH(MarSun1+27)=3),MarSun1+27,"")</f>
        <v>42455</v>
      </c>
      <c r="K46" s="49"/>
      <c r="L46" s="16"/>
      <c r="M46" s="60"/>
      <c r="N46" s="51">
        <f>IF(AND(YEAR(JunSun1+21)=$A$1,MONTH(JunSun1+21)=6),JunSun1+21,"")</f>
        <v>42540</v>
      </c>
      <c r="O46" s="51">
        <f>IF(AND(YEAR(JunSun1+22)=$A$1,MONTH(JunSun1+22)=6),JunSun1+22,"")</f>
        <v>42541</v>
      </c>
      <c r="P46" s="51">
        <f>IF(AND(YEAR(JunSun1+23)=$A$1,MONTH(JunSun1+23)=6),JunSun1+23,"")</f>
        <v>42542</v>
      </c>
      <c r="Q46" s="51">
        <f>IF(AND(YEAR(JunSun1+24)=$A$1,MONTH(JunSun1+24)=6),JunSun1+24,"")</f>
        <v>42543</v>
      </c>
      <c r="R46" s="51">
        <f>IF(AND(YEAR(JunSun1+25)=$A$1,MONTH(JunSun1+25)=6),JunSun1+25,"")</f>
        <v>42544</v>
      </c>
      <c r="S46" s="51">
        <f>IF(AND(YEAR(JunSun1+26)=$A$1,MONTH(JunSun1+26)=6),JunSun1+26,"")</f>
        <v>42545</v>
      </c>
      <c r="T46" s="51">
        <f>IF(AND(YEAR(JunSun1+27)=$A$1,MONTH(JunSun1+27)=6),JunSun1+27,"")</f>
        <v>42546</v>
      </c>
      <c r="U46" s="49"/>
      <c r="V46" s="16"/>
      <c r="W46" s="60"/>
      <c r="X46" s="51">
        <f>IF(AND(YEAR(SepSun1+21)=$A$1,MONTH(SepSun1+21)=9),SepSun1+21,"")</f>
        <v>42631</v>
      </c>
      <c r="Y46" s="51">
        <f>IF(AND(YEAR(SepSun1+22)=$A$1,MONTH(SepSun1+22)=9),SepSun1+22,"")</f>
        <v>42632</v>
      </c>
      <c r="Z46" s="51">
        <f>IF(AND(YEAR(SepSun1+23)=$A$1,MONTH(SepSun1+23)=9),SepSun1+23,"")</f>
        <v>42633</v>
      </c>
      <c r="AA46" s="51">
        <f>IF(AND(YEAR(SepSun1+24)=$A$1,MONTH(SepSun1+24)=9),SepSun1+24,"")</f>
        <v>42634</v>
      </c>
      <c r="AB46" s="51">
        <f>IF(AND(YEAR(SepSun1+25)=$A$1,MONTH(SepSun1+25)=9),SepSun1+25,"")</f>
        <v>42635</v>
      </c>
      <c r="AC46" s="51">
        <f>IF(AND(YEAR(SepSun1+26)=$A$1,MONTH(SepSun1+26)=9),SepSun1+26,"")</f>
        <v>42636</v>
      </c>
      <c r="AD46" s="51">
        <f>IF(AND(YEAR(SepSun1+27)=$A$1,MONTH(SepSun1+27)=9),SepSun1+27,"")</f>
        <v>42637</v>
      </c>
      <c r="AE46" s="49"/>
      <c r="AF46" s="16"/>
      <c r="AG46" s="60"/>
      <c r="AH46" s="51">
        <f>IF(AND(YEAR(DecSun1+21)=$A$1,MONTH(DecSun1+21)=12),DecSun1+21,"")</f>
        <v>42722</v>
      </c>
      <c r="AI46" s="51">
        <f>IF(AND(YEAR(DecSun1+22)=$A$1,MONTH(DecSun1+22)=12),DecSun1+22,"")</f>
        <v>42723</v>
      </c>
      <c r="AJ46" s="51">
        <f>IF(AND(YEAR(DecSun1+23)=$A$1,MONTH(DecSun1+23)=12),DecSun1+23,"")</f>
        <v>42724</v>
      </c>
      <c r="AK46" s="51">
        <f>IF(AND(YEAR(DecSun1+24)=$A$1,MONTH(DecSun1+24)=12),DecSun1+24,"")</f>
        <v>42725</v>
      </c>
      <c r="AL46" s="51">
        <f>IF(AND(YEAR(DecSun1+25)=$A$1,MONTH(DecSun1+25)=12),DecSun1+25,"")</f>
        <v>42726</v>
      </c>
      <c r="AM46" s="51">
        <f>IF(AND(YEAR(DecSun1+26)=$A$1,MONTH(DecSun1+26)=12),DecSun1+26,"")</f>
        <v>42727</v>
      </c>
      <c r="AN46" s="51">
        <f>IF(AND(YEAR(DecSun1+27)=$A$1,MONTH(DecSun1+27)=12),DecSun1+27,"")</f>
        <v>42728</v>
      </c>
      <c r="AO46" s="44"/>
      <c r="AP46" s="40"/>
      <c r="AQ46" s="3"/>
      <c r="AR46" s="6"/>
      <c r="AS46" s="6"/>
      <c r="AT46" s="6"/>
      <c r="AU46" s="6"/>
    </row>
    <row r="47" spans="1:44" ht="15.95" customHeight="1">
      <c r="A47" s="6"/>
      <c r="B47" s="64"/>
      <c r="C47" s="62"/>
      <c r="D47" s="52"/>
      <c r="E47" s="52"/>
      <c r="F47" s="52"/>
      <c r="G47" s="52"/>
      <c r="H47" s="52"/>
      <c r="I47" s="52"/>
      <c r="J47" s="52"/>
      <c r="K47" s="83"/>
      <c r="L47" s="84"/>
      <c r="M47" s="62"/>
      <c r="N47" s="52"/>
      <c r="O47" s="52"/>
      <c r="P47" s="52"/>
      <c r="Q47" s="52"/>
      <c r="R47" s="52"/>
      <c r="S47" s="52"/>
      <c r="T47" s="52"/>
      <c r="U47" s="83"/>
      <c r="V47" s="84"/>
      <c r="W47" s="62"/>
      <c r="X47" s="52"/>
      <c r="Y47" s="52"/>
      <c r="Z47" s="52"/>
      <c r="AA47" s="52"/>
      <c r="AB47" s="52"/>
      <c r="AC47" s="52"/>
      <c r="AD47" s="52"/>
      <c r="AE47" s="83"/>
      <c r="AF47" s="84"/>
      <c r="AG47" s="62"/>
      <c r="AH47" s="52"/>
      <c r="AI47" s="52"/>
      <c r="AJ47" s="52"/>
      <c r="AK47" s="52"/>
      <c r="AL47" s="52"/>
      <c r="AM47" s="52"/>
      <c r="AN47" s="52"/>
      <c r="AO47" s="45"/>
      <c r="AQ47" s="16"/>
      <c r="AR47" s="12"/>
    </row>
    <row r="48" spans="2:43" s="42" customFormat="1" ht="15.95" customHeight="1">
      <c r="B48" s="72"/>
      <c r="C48" s="60"/>
      <c r="D48" s="51">
        <f>IF(AND(YEAR(MarSun1+28)=$A$1,MONTH(MarSun1+28)=3),MarSun1+28,"")</f>
        <v>42456</v>
      </c>
      <c r="E48" s="51">
        <f>IF(AND(YEAR(MarSun1+29)=$A$1,MONTH(MarSun1+29)=3),MarSun1+29,"")</f>
        <v>42457</v>
      </c>
      <c r="F48" s="51">
        <f>IF(AND(YEAR(MarSun1+30)=$A$1,MONTH(MarSun1+30)=3),MarSun1+30,"")</f>
        <v>42458</v>
      </c>
      <c r="G48" s="51">
        <f>IF(AND(YEAR(MarSun1+31)=$A$1,MONTH(MarSun1+31)=3),MarSun1+31,"")</f>
        <v>42459</v>
      </c>
      <c r="H48" s="51">
        <f>IF(AND(YEAR(MarSun1+32)=$A$1,MONTH(MarSun1+32)=3),MarSun1+32,"")</f>
        <v>42460</v>
      </c>
      <c r="I48" s="51" t="str">
        <f>IF(AND(YEAR(MarSun1+33)=$A$1,MONTH(MarSun1+33)=3),MarSun1+33,"")</f>
        <v/>
      </c>
      <c r="J48" s="51" t="str">
        <f>IF(AND(YEAR(MarSun1+34)=$A$1,MONTH(MarSun1+34)=3),MarSun1+34,"")</f>
        <v/>
      </c>
      <c r="K48" s="49"/>
      <c r="L48" s="16"/>
      <c r="M48" s="60"/>
      <c r="N48" s="51">
        <f>IF(AND(YEAR(JunSun1+28)=$A$1,MONTH(JunSun1+28)=6),JunSun1+28,"")</f>
        <v>42547</v>
      </c>
      <c r="O48" s="51">
        <f>IF(AND(YEAR(JunSun1+29)=$A$1,MONTH(JunSun1+29)=6),JunSun1+29,"")</f>
        <v>42548</v>
      </c>
      <c r="P48" s="51">
        <f>IF(AND(YEAR(JunSun1+30)=$A$1,MONTH(JunSun1+30)=6),JunSun1+30,"")</f>
        <v>42549</v>
      </c>
      <c r="Q48" s="51">
        <f>IF(AND(YEAR(JunSun1+31)=$A$1,MONTH(JunSun1+31)=6),JunSun1+31,"")</f>
        <v>42550</v>
      </c>
      <c r="R48" s="51">
        <f>IF(AND(YEAR(JunSun1+32)=$A$1,MONTH(JunSun1+32)=6),JunSun1+32,"")</f>
        <v>42551</v>
      </c>
      <c r="S48" s="51" t="str">
        <f>IF(AND(YEAR(JunSun1+33)=$A$1,MONTH(JunSun1+33)=6),JunSun1+33,"")</f>
        <v/>
      </c>
      <c r="T48" s="51" t="str">
        <f>IF(AND(YEAR(JunSun1+34)=$A$1,MONTH(JunSun1+34)=6),JunSun1+34,"")</f>
        <v/>
      </c>
      <c r="U48" s="49"/>
      <c r="V48" s="16"/>
      <c r="W48" s="60"/>
      <c r="X48" s="51">
        <f>IF(AND(YEAR(SepSun1+28)=$A$1,MONTH(SepSun1+28)=9),SepSun1+28,"")</f>
        <v>42638</v>
      </c>
      <c r="Y48" s="51">
        <f>IF(AND(YEAR(SepSun1+29)=$A$1,MONTH(SepSun1+29)=9),SepSun1+29,"")</f>
        <v>42639</v>
      </c>
      <c r="Z48" s="51">
        <f>IF(AND(YEAR(SepSun1+30)=$A$1,MONTH(SepSun1+30)=9),SepSun1+30,"")</f>
        <v>42640</v>
      </c>
      <c r="AA48" s="51">
        <f>IF(AND(YEAR(SepSun1+31)=$A$1,MONTH(SepSun1+31)=9),SepSun1+31,"")</f>
        <v>42641</v>
      </c>
      <c r="AB48" s="51">
        <f>IF(AND(YEAR(SepSun1+32)=$A$1,MONTH(SepSun1+32)=9),SepSun1+32,"")</f>
        <v>42642</v>
      </c>
      <c r="AC48" s="51">
        <f>IF(AND(YEAR(SepSun1+33)=$A$1,MONTH(SepSun1+33)=9),SepSun1+33,"")</f>
        <v>42643</v>
      </c>
      <c r="AD48" s="51" t="str">
        <f>IF(AND(YEAR(SepSun1+34)=$A$1,MONTH(SepSun1+34)=9),SepSun1+34,"")</f>
        <v/>
      </c>
      <c r="AE48" s="49"/>
      <c r="AF48" s="16"/>
      <c r="AG48" s="60"/>
      <c r="AH48" s="51">
        <f>IF(AND(YEAR(DecSun1+28)=$A$1,MONTH(DecSun1+28)=12),DecSun1+28,"")</f>
        <v>42729</v>
      </c>
      <c r="AI48" s="51">
        <f>IF(AND(YEAR(DecSun1+29)=$A$1,MONTH(DecSun1+29)=12),DecSun1+29,"")</f>
        <v>42730</v>
      </c>
      <c r="AJ48" s="51">
        <f>IF(AND(YEAR(DecSun1+30)=$A$1,MONTH(DecSun1+30)=12),DecSun1+30,"")</f>
        <v>42731</v>
      </c>
      <c r="AK48" s="51">
        <f>IF(AND(YEAR(DecSun1+31)=$A$1,MONTH(DecSun1+31)=12),DecSun1+31,"")</f>
        <v>42732</v>
      </c>
      <c r="AL48" s="51">
        <f>IF(AND(YEAR(DecSun1+32)=$A$1,MONTH(DecSun1+32)=12),DecSun1+32,"")</f>
        <v>42733</v>
      </c>
      <c r="AM48" s="51">
        <f>IF(AND(YEAR(DecSun1+33)=$A$1,MONTH(DecSun1+33)=12),DecSun1+33,"")</f>
        <v>42734</v>
      </c>
      <c r="AN48" s="51">
        <f>IF(AND(YEAR(DecSun1+34)=$A$1,MONTH(DecSun1+34)=12),DecSun1+34,"")</f>
        <v>42735</v>
      </c>
      <c r="AO48" s="44"/>
      <c r="AP48" s="2"/>
      <c r="AQ48" s="40"/>
    </row>
    <row r="49" spans="3:41" ht="12.75">
      <c r="C49" s="62"/>
      <c r="D49" s="52"/>
      <c r="E49" s="52"/>
      <c r="F49" s="52"/>
      <c r="G49" s="52"/>
      <c r="H49" s="52"/>
      <c r="I49" s="53"/>
      <c r="J49" s="53"/>
      <c r="K49" s="83"/>
      <c r="L49" s="84"/>
      <c r="M49" s="62"/>
      <c r="N49" s="52"/>
      <c r="O49" s="52"/>
      <c r="P49" s="52"/>
      <c r="Q49" s="52"/>
      <c r="R49" s="52"/>
      <c r="S49" s="53"/>
      <c r="T49" s="53"/>
      <c r="U49" s="83"/>
      <c r="V49" s="84"/>
      <c r="W49" s="62"/>
      <c r="X49" s="52"/>
      <c r="Y49" s="52"/>
      <c r="Z49" s="52"/>
      <c r="AA49" s="52"/>
      <c r="AB49" s="52"/>
      <c r="AC49" s="52"/>
      <c r="AD49" s="53"/>
      <c r="AE49" s="83"/>
      <c r="AF49" s="84"/>
      <c r="AG49" s="62"/>
      <c r="AH49" s="52"/>
      <c r="AI49" s="52"/>
      <c r="AJ49" s="52"/>
      <c r="AK49" s="52"/>
      <c r="AL49" s="52"/>
      <c r="AM49" s="52"/>
      <c r="AN49" s="52"/>
      <c r="AO49" s="45"/>
    </row>
    <row r="50" spans="3:41" ht="12.75">
      <c r="C50" s="60"/>
      <c r="D50" s="51" t="str">
        <f>IF(AND(YEAR(MarSun1+35)=$A$1,MONTH(MarSun1+35)=3),MarSun1+35,"")</f>
        <v/>
      </c>
      <c r="E50" s="51" t="str">
        <f>IF(AND(YEAR(MarSun1+36)=$A$1,MONTH(MarSun1+36)=3),MarSun1+36,"")</f>
        <v/>
      </c>
      <c r="F50" s="51" t="str">
        <f>IF(AND(YEAR(MarSun1+37)=$A$1,MONTH(MarSun1+37)=3),MarSun1+37,"")</f>
        <v/>
      </c>
      <c r="G50" s="51" t="str">
        <f>IF(AND(YEAR(MarSun1+38)=$A$1,MONTH(MarSun1+38)=3),MarSun1+38,"")</f>
        <v/>
      </c>
      <c r="H50" s="51" t="str">
        <f>IF(AND(YEAR(MarSun1+39)=$A$1,MONTH(MarSun1+39)=3),MarSun1+39,"")</f>
        <v/>
      </c>
      <c r="I50" s="51" t="str">
        <f>IF(AND(YEAR(MarSun1+40)=$A$1,MONTH(MarSun1+40)=3),MarSun1+40,"")</f>
        <v/>
      </c>
      <c r="J50" s="51" t="str">
        <f>IF(AND(YEAR(MarSun1+41)=$A$1,MONTH(MarSun1+41)=3),MarSun1+41,"")</f>
        <v/>
      </c>
      <c r="K50" s="49"/>
      <c r="L50" s="16"/>
      <c r="M50" s="60"/>
      <c r="N50" s="51" t="str">
        <f>IF(AND(YEAR(JunSun1+35)=$A$1,MONTH(JunSun1+35)=6),JunSun1+35,"")</f>
        <v/>
      </c>
      <c r="O50" s="51" t="str">
        <f>IF(AND(YEAR(JunSun1+36)=$A$1,MONTH(JunSun1+36)=6),JunSun1+36,"")</f>
        <v/>
      </c>
      <c r="P50" s="51" t="str">
        <f>IF(AND(YEAR(JunSun1+37)=$A$1,MONTH(JunSun1+37)=6),JunSun1+37,"")</f>
        <v/>
      </c>
      <c r="Q50" s="51" t="str">
        <f>IF(AND(YEAR(JunSun1+38)=$A$1,MONTH(JunSun1+38)=6),JunSun1+38,"")</f>
        <v/>
      </c>
      <c r="R50" s="51" t="str">
        <f>IF(AND(YEAR(JunSun1+39)=$A$1,MONTH(JunSun1+39)=6),JunSun1+39,"")</f>
        <v/>
      </c>
      <c r="S50" s="51" t="str">
        <f>IF(AND(YEAR(JunSun1+40)=$A$1,MONTH(JunSun1+40)=6),JunSun1+40,"")</f>
        <v/>
      </c>
      <c r="T50" s="51" t="str">
        <f>IF(AND(YEAR(JunSun1+41)=$A$1,MONTH(JunSun1+41)=6),JunSun1+41,"")</f>
        <v/>
      </c>
      <c r="U50" s="49"/>
      <c r="V50" s="16"/>
      <c r="W50" s="60"/>
      <c r="X50" s="51" t="str">
        <f>IF(AND(YEAR(SepSun1+35)=$A$1,MONTH(SepSun1+35)=9),SepSun1+35,"")</f>
        <v/>
      </c>
      <c r="Y50" s="51" t="str">
        <f>IF(AND(YEAR(SepSun1+36)=$A$1,MONTH(SepSun1+36)=9),SepSun1+36,"")</f>
        <v/>
      </c>
      <c r="Z50" s="51" t="str">
        <f>IF(AND(YEAR(SepSun1+37)=$A$1,MONTH(SepSun1+37)=9),SepSun1+37,"")</f>
        <v/>
      </c>
      <c r="AA50" s="51" t="str">
        <f>IF(AND(YEAR(SepSun1+38)=$A$1,MONTH(SepSun1+38)=9),SepSun1+38,"")</f>
        <v/>
      </c>
      <c r="AB50" s="51" t="str">
        <f>IF(AND(YEAR(SepSun1+39)=$A$1,MONTH(SepSun1+39)=9),SepSun1+39,"")</f>
        <v/>
      </c>
      <c r="AC50" s="51" t="str">
        <f>IF(AND(YEAR(SepSun1+40)=$A$1,MONTH(SepSun1+40)=9),SepSun1+40,"")</f>
        <v/>
      </c>
      <c r="AD50" s="51" t="str">
        <f>IF(AND(YEAR(SepSun1+41)=$A$1,MONTH(SepSun1+41)=9),SepSun1+41,"")</f>
        <v/>
      </c>
      <c r="AE50" s="49"/>
      <c r="AF50" s="16"/>
      <c r="AG50" s="60"/>
      <c r="AH50" s="51" t="str">
        <f>IF(AND(YEAR(DecSun1+35)=$A$1,MONTH(DecSun1+35)=12),DecSun1+35,"")</f>
        <v/>
      </c>
      <c r="AI50" s="51" t="str">
        <f>IF(AND(YEAR(DecSun1+36)=$A$1,MONTH(DecSun1+36)=12),DecSun1+36,"")</f>
        <v/>
      </c>
      <c r="AJ50" s="51" t="str">
        <f>IF(AND(YEAR(DecSun1+37)=$A$1,MONTH(DecSun1+37)=12),DecSun1+37,"")</f>
        <v/>
      </c>
      <c r="AK50" s="51" t="str">
        <f>IF(AND(YEAR(DecSun1+38)=$A$1,MONTH(DecSun1+38)=12),DecSun1+38,"")</f>
        <v/>
      </c>
      <c r="AL50" s="51" t="str">
        <f>IF(AND(YEAR(DecSun1+39)=$A$1,MONTH(DecSun1+39)=12),DecSun1+39,"")</f>
        <v/>
      </c>
      <c r="AM50" s="51" t="str">
        <f>IF(AND(YEAR(DecSun1+40)=$A$1,MONTH(DecSun1+40)=12),DecSun1+40,"")</f>
        <v/>
      </c>
      <c r="AN50" s="51" t="str">
        <f>IF(AND(YEAR(DecSun1+41)=$A$1,MONTH(DecSun1+41)=12),DecSun1+41,"")</f>
        <v/>
      </c>
      <c r="AO50" s="44"/>
    </row>
    <row r="51" spans="3:41" ht="12.75">
      <c r="C51" s="74"/>
      <c r="D51" s="53"/>
      <c r="E51" s="53"/>
      <c r="F51" s="53"/>
      <c r="G51" s="53"/>
      <c r="H51" s="53"/>
      <c r="I51" s="53"/>
      <c r="J51" s="53"/>
      <c r="K51" s="55" t="s">
        <v>21</v>
      </c>
      <c r="L51" s="16"/>
      <c r="M51" s="74"/>
      <c r="N51" s="53"/>
      <c r="O51" s="53"/>
      <c r="P51" s="53"/>
      <c r="Q51" s="53"/>
      <c r="R51" s="53"/>
      <c r="S51" s="53"/>
      <c r="T51" s="53"/>
      <c r="U51" s="55" t="s">
        <v>21</v>
      </c>
      <c r="V51" s="16"/>
      <c r="W51" s="74"/>
      <c r="X51" s="53"/>
      <c r="Y51" s="53"/>
      <c r="Z51" s="53"/>
      <c r="AA51" s="53"/>
      <c r="AB51" s="53"/>
      <c r="AC51" s="53"/>
      <c r="AD51" s="53"/>
      <c r="AE51" s="55" t="s">
        <v>21</v>
      </c>
      <c r="AF51" s="16"/>
      <c r="AG51" s="62"/>
      <c r="AH51" s="53"/>
      <c r="AI51" s="53"/>
      <c r="AJ51" s="53"/>
      <c r="AK51" s="53"/>
      <c r="AL51" s="53"/>
      <c r="AM51" s="53"/>
      <c r="AN51" s="53"/>
      <c r="AO51" s="55" t="s">
        <v>21</v>
      </c>
    </row>
    <row r="52" spans="3:41" ht="15.75" customHeight="1" thickBot="1">
      <c r="C52" s="65" t="s">
        <v>35</v>
      </c>
      <c r="D52" s="110">
        <f>COUNTIF(D43:J43,"AC")+COUNTIF(D45:J45,"AC")+COUNTIF(D47:J47,"AC")+COUNTIF(D49:J49,"AC")+COUNTIF(D51:J51,"AC")+COUNTIF(D41:J41,"AC")</f>
        <v>0</v>
      </c>
      <c r="E52" s="111" t="s">
        <v>2</v>
      </c>
      <c r="F52" s="110">
        <f>COUNTIF(D43:J43,"T")+COUNTIF(D45:J45,"T")+COUNTIF(D47:J47,"T")+COUNTIF(D49:J49,"T")+COUNTIF(D51:J51,"T")+COUNTIF(D41:J41,"T")</f>
        <v>0</v>
      </c>
      <c r="G52" s="111" t="s">
        <v>20</v>
      </c>
      <c r="H52" s="110">
        <f>COUNTIF(D43:J43,"MP")+COUNTIF(D45:J45,"MP")+COUNTIF(D47:J47,"MP")+COUNTIF(D49:J49,"MP")+COUNTIF(D51:J51,"MP")+COUNTIF(D41:J41,"MP")</f>
        <v>0</v>
      </c>
      <c r="I52" s="111" t="s">
        <v>22</v>
      </c>
      <c r="J52" s="110">
        <f>COUNTIF(D43:J43,"A")+COUNTIF(D45:J45,"A")+COUNTIF(D47:J47,"A")+COUNTIF(D49:J49,"A")+COUNTIF(D51:J51,"A")+COUNTIF(D41:J41,"A")</f>
        <v>0</v>
      </c>
      <c r="K52" s="54">
        <f>SUM((F52*0.5)+(H52*0.5)+(J52))</f>
        <v>0</v>
      </c>
      <c r="L52" s="85"/>
      <c r="M52" s="65" t="s">
        <v>35</v>
      </c>
      <c r="N52" s="110">
        <f>COUNTIF(N43:T43,"AC")+COUNTIF(N45:T45,"AC")+COUNTIF(N47:T47,"AC")+COUNTIF(N49:T49,"AC")+COUNTIF(N51:T51,"AC")+COUNTIF(N41:T41,"AC")</f>
        <v>0</v>
      </c>
      <c r="O52" s="111" t="s">
        <v>2</v>
      </c>
      <c r="P52" s="110">
        <f>COUNTIF(N43:T43,"T")+COUNTIF(N45:T45,"T")+COUNTIF(N47:T47,"T")+COUNTIF(N49:T49,"T")+COUNTIF(N51:T51,"T")+COUNTIF(N41:T41,"T")</f>
        <v>0</v>
      </c>
      <c r="Q52" s="111" t="s">
        <v>20</v>
      </c>
      <c r="R52" s="110">
        <f>COUNTIF(N43:T43,"MP")+COUNTIF(N45:T45,"MP")+COUNTIF(N47:T47,"MP")+COUNTIF(N49:T49,"MP")+COUNTIF(N51:T51,"MP")+COUNTIF(N41:T41,"MP")</f>
        <v>0</v>
      </c>
      <c r="S52" s="111" t="s">
        <v>22</v>
      </c>
      <c r="T52" s="110">
        <f>COUNTIF(N43:T43,"A")+COUNTIF(N45:T45,"A")+COUNTIF(N47:T47,"A")+COUNTIF(N49:T49,"A")+COUNTIF(N51:T51,"A")+COUNTIF(N41:T41,"A")</f>
        <v>0</v>
      </c>
      <c r="U52" s="54">
        <f>SUM((P52*0.5)+(R52*0.5)+(T52))</f>
        <v>0</v>
      </c>
      <c r="V52" s="85"/>
      <c r="W52" s="65" t="s">
        <v>35</v>
      </c>
      <c r="X52" s="110">
        <f>COUNTIF(X43:AD43,"AC")+COUNTIF(X45:AD45,"AC")+COUNTIF(X47:AD47,"AC")+COUNTIF(X49:AD49,"AC")+COUNTIF(X51:AD51,"AC")+COUNTIF(X41:AD41,"AC")</f>
        <v>0</v>
      </c>
      <c r="Y52" s="111" t="s">
        <v>2</v>
      </c>
      <c r="Z52" s="110">
        <f>COUNTIF(X43:AD43,"T")+COUNTIF(X45:AD45,"T")+COUNTIF(X47:AD47,"T")+COUNTIF(X49:AD49,"T")+COUNTIF(X51:AD51,"T")+COUNTIF(X41:AD41,"T")</f>
        <v>0</v>
      </c>
      <c r="AA52" s="111" t="s">
        <v>20</v>
      </c>
      <c r="AB52" s="110">
        <f>COUNTIF(X43:AD43,"MP")+COUNTIF(X45:AD45,"MP")+COUNTIF(X47:AD47,"MP")+COUNTIF(X49:AD49,"MP")+COUNTIF(X51:AD51,"MP")+COUNTIF(X41:AD41,"MP")</f>
        <v>0</v>
      </c>
      <c r="AC52" s="111" t="s">
        <v>22</v>
      </c>
      <c r="AD52" s="110">
        <f>COUNTIF(X43:AD43,"A")+COUNTIF(X45:AD45,"A")+COUNTIF(X47:AD47,"A")+COUNTIF(X49:AD49,"A")+COUNTIF(X51:AD51,"A")+COUNTIF(X41:AD41,"A")</f>
        <v>0</v>
      </c>
      <c r="AE52" s="54">
        <f>SUM((Z52*0.5)+(AB52*0.5)+(AD52))</f>
        <v>0</v>
      </c>
      <c r="AF52" s="85"/>
      <c r="AG52" s="65" t="s">
        <v>35</v>
      </c>
      <c r="AH52" s="110">
        <f>COUNTIF(AH43:AN43,"AC")+COUNTIF(AH45:AN45,"AC")+COUNTIF(AH47:AN47,"AC")+COUNTIF(AH49:AN49,"AC")+COUNTIF(AH51:AN51,"AC")+COUNTIF(AH41:AN41,"AC")</f>
        <v>0</v>
      </c>
      <c r="AI52" s="111" t="s">
        <v>2</v>
      </c>
      <c r="AJ52" s="110">
        <f>COUNTIF(AH43:AN43,"T")+COUNTIF(AH45:AN45,"T")+COUNTIF(AH47:AN47,"T")+COUNTIF(AH49:AN49,"T")+COUNTIF(AH51:AN51,"T")+COUNTIF(AH41:AN41,"T")</f>
        <v>0</v>
      </c>
      <c r="AK52" s="111" t="s">
        <v>20</v>
      </c>
      <c r="AL52" s="110">
        <f>COUNTIF(AH43:AN43,"MP")+COUNTIF(AH45:AN45,"MP")+COUNTIF(AH47:AN47,"MP")+COUNTIF(AH49:AN49,"MP")+COUNTIF(AH51:AN51,"MP")+COUNTIF(AH41:AN41,"MP")</f>
        <v>0</v>
      </c>
      <c r="AM52" s="111" t="s">
        <v>22</v>
      </c>
      <c r="AN52" s="110">
        <f>COUNTIF(AH43:AN43,"A")+COUNTIF(AH45:AN45,"A")+COUNTIF(AH47:AN47,"A")+COUNTIF(AH49:AN49,"A")+COUNTIF(AH51:AN51,"A")+COUNTIF(AH41:AN41,"A")</f>
        <v>0</v>
      </c>
      <c r="AO52" s="54">
        <f>SUM((AJ52*0.5)+(AL52*0.5)+(AN52))</f>
        <v>0</v>
      </c>
    </row>
    <row r="53" spans="3:40" ht="15.75" thickTop="1">
      <c r="C53" s="75"/>
      <c r="D53" s="75"/>
      <c r="E53" s="75"/>
      <c r="F53" s="75"/>
      <c r="G53" s="75"/>
      <c r="H53" s="75"/>
      <c r="I53" s="75"/>
      <c r="J53" s="75"/>
      <c r="K53" s="118"/>
      <c r="L53" s="119"/>
      <c r="N53" s="75"/>
      <c r="O53" s="75"/>
      <c r="P53" s="75"/>
      <c r="Q53" s="75"/>
      <c r="R53" s="75"/>
      <c r="S53" s="75"/>
      <c r="T53" s="75"/>
      <c r="U53" s="118"/>
      <c r="V53" s="119"/>
      <c r="X53" s="75"/>
      <c r="Y53" s="75"/>
      <c r="Z53" s="75"/>
      <c r="AA53" s="75"/>
      <c r="AB53" s="75"/>
      <c r="AC53" s="75"/>
      <c r="AD53" s="75"/>
      <c r="AE53" s="118"/>
      <c r="AF53" s="119"/>
      <c r="AH53" s="75"/>
      <c r="AI53" s="75"/>
      <c r="AJ53" s="75"/>
      <c r="AK53" s="75"/>
      <c r="AL53" s="75"/>
      <c r="AM53" s="75"/>
      <c r="AN53" s="75"/>
    </row>
    <row r="54" spans="3:40" ht="15.75" customHeight="1">
      <c r="C54" s="75"/>
      <c r="D54" s="75"/>
      <c r="E54" s="75"/>
      <c r="F54" s="75"/>
      <c r="G54" s="75"/>
      <c r="H54" s="75"/>
      <c r="I54" s="75"/>
      <c r="J54" s="75"/>
      <c r="K54" s="118"/>
      <c r="L54" s="119"/>
      <c r="N54" s="75"/>
      <c r="O54" s="75"/>
      <c r="P54" s="75"/>
      <c r="Q54" s="75"/>
      <c r="R54" s="75"/>
      <c r="S54" s="75"/>
      <c r="T54" s="75"/>
      <c r="U54" s="118"/>
      <c r="V54" s="119"/>
      <c r="X54" s="75"/>
      <c r="Y54" s="75"/>
      <c r="Z54" s="75"/>
      <c r="AA54" s="75"/>
      <c r="AB54" s="75"/>
      <c r="AC54" s="75"/>
      <c r="AD54" s="75"/>
      <c r="AE54" s="118"/>
      <c r="AF54" s="119"/>
      <c r="AH54" s="75"/>
      <c r="AI54" s="75"/>
      <c r="AJ54" s="75"/>
      <c r="AK54" s="75"/>
      <c r="AL54" s="75"/>
      <c r="AM54" s="75"/>
      <c r="AN54" s="75"/>
    </row>
    <row r="55" spans="3:40" ht="12.75">
      <c r="C55" s="75"/>
      <c r="D55" s="75"/>
      <c r="E55" s="75"/>
      <c r="F55" s="75"/>
      <c r="G55" s="75"/>
      <c r="H55" s="75"/>
      <c r="I55" s="75"/>
      <c r="J55" s="75"/>
      <c r="K55" s="118"/>
      <c r="L55" s="119"/>
      <c r="N55" s="75"/>
      <c r="O55" s="75"/>
      <c r="P55" s="75"/>
      <c r="Q55" s="75"/>
      <c r="R55" s="75"/>
      <c r="S55" s="75"/>
      <c r="T55" s="75"/>
      <c r="U55" s="118"/>
      <c r="V55" s="119"/>
      <c r="X55" s="75"/>
      <c r="Y55" s="75"/>
      <c r="Z55" s="75"/>
      <c r="AA55" s="75"/>
      <c r="AB55" s="75"/>
      <c r="AC55" s="75"/>
      <c r="AD55" s="75"/>
      <c r="AE55" s="118"/>
      <c r="AF55" s="119"/>
      <c r="AH55" s="75"/>
      <c r="AI55" s="75"/>
      <c r="AJ55" s="75"/>
      <c r="AK55" s="75"/>
      <c r="AL55" s="75"/>
      <c r="AM55" s="75"/>
      <c r="AN55" s="75"/>
    </row>
    <row r="56" spans="3:40" ht="12.75">
      <c r="C56" s="75"/>
      <c r="D56" s="75"/>
      <c r="E56" s="75"/>
      <c r="F56" s="75"/>
      <c r="G56" s="75"/>
      <c r="H56" s="75"/>
      <c r="I56" s="75"/>
      <c r="J56" s="75"/>
      <c r="K56" s="118"/>
      <c r="L56" s="119"/>
      <c r="N56" s="75"/>
      <c r="O56" s="75"/>
      <c r="P56" s="75"/>
      <c r="Q56" s="75"/>
      <c r="R56" s="75"/>
      <c r="S56" s="75"/>
      <c r="T56" s="75"/>
      <c r="U56" s="118"/>
      <c r="V56" s="119"/>
      <c r="X56" s="75"/>
      <c r="Y56" s="75"/>
      <c r="Z56" s="75"/>
      <c r="AA56" s="75"/>
      <c r="AB56" s="75"/>
      <c r="AC56" s="75"/>
      <c r="AD56" s="75"/>
      <c r="AE56" s="118"/>
      <c r="AF56" s="119"/>
      <c r="AH56" s="75"/>
      <c r="AI56" s="75"/>
      <c r="AJ56" s="75"/>
      <c r="AK56" s="75"/>
      <c r="AL56" s="75"/>
      <c r="AM56" s="75"/>
      <c r="AN56" s="75"/>
    </row>
  </sheetData>
  <sheetProtection algorithmName="SHA-512" hashValue="TPtOs3Zev11vTP/s4QjskQI9OEUuN5Gz6rtHbCZsZXHqAcN+I2RQ3R4ZWDcbRvBYbB8eNEJhYlfBR2OTeMFsLg==" saltValue="CnNzNQosGULQNQGcqQyMZQ==" spinCount="100000" sheet="1" objects="1" scenarios="1" selectLockedCells="1"/>
  <mergeCells count="25">
    <mergeCell ref="AT18:AU18"/>
    <mergeCell ref="I1:T1"/>
    <mergeCell ref="AD1:AN1"/>
    <mergeCell ref="D4:J4"/>
    <mergeCell ref="N4:T4"/>
    <mergeCell ref="X4:AD4"/>
    <mergeCell ref="AH4:AN4"/>
    <mergeCell ref="AT12:AU12"/>
    <mergeCell ref="AT13:AU13"/>
    <mergeCell ref="AT14:AU14"/>
    <mergeCell ref="AT15:AU15"/>
    <mergeCell ref="AT17:AU17"/>
    <mergeCell ref="AT19:AU19"/>
    <mergeCell ref="AT20:AU20"/>
    <mergeCell ref="D21:J21"/>
    <mergeCell ref="N21:T21"/>
    <mergeCell ref="X21:AD21"/>
    <mergeCell ref="AH21:AN21"/>
    <mergeCell ref="AT25:AU25"/>
    <mergeCell ref="AT26:AU26"/>
    <mergeCell ref="AT27:AU27"/>
    <mergeCell ref="D38:J38"/>
    <mergeCell ref="N38:T38"/>
    <mergeCell ref="X38:AD38"/>
    <mergeCell ref="AH38:AN38"/>
  </mergeCells>
  <conditionalFormatting sqref="AW10">
    <cfRule type="cellIs" priority="12" dxfId="3" operator="greaterThanOrEqual">
      <formula>10</formula>
    </cfRule>
    <cfRule type="cellIs" priority="13" dxfId="2" operator="between">
      <formula>8</formula>
      <formula>9.5</formula>
    </cfRule>
    <cfRule type="cellIs" priority="14" dxfId="12" operator="between">
      <formula>6</formula>
      <formula>7.5</formula>
    </cfRule>
    <cfRule type="cellIs" priority="15" dxfId="11" operator="between">
      <formula>4</formula>
      <formula>5.5</formula>
    </cfRule>
  </conditionalFormatting>
  <conditionalFormatting sqref="AR19">
    <cfRule type="cellIs" priority="8" dxfId="3" operator="greaterThanOrEqual">
      <formula>15</formula>
    </cfRule>
    <cfRule type="cellIs" priority="9" dxfId="2" operator="between">
      <formula>12</formula>
      <formula>14.5</formula>
    </cfRule>
    <cfRule type="cellIs" priority="10" dxfId="1" operator="between">
      <formula>9</formula>
      <formula>11.5</formula>
    </cfRule>
    <cfRule type="cellIs" priority="11" dxfId="0" operator="between">
      <formula>6</formula>
      <formula>8.5</formula>
    </cfRule>
  </conditionalFormatting>
  <conditionalFormatting sqref="AR26">
    <cfRule type="cellIs" priority="5" dxfId="3" operator="equal">
      <formula>$AS$27</formula>
    </cfRule>
    <cfRule type="cellIs" priority="6" dxfId="2" operator="equal">
      <formula>$AS$26</formula>
    </cfRule>
    <cfRule type="cellIs" priority="7" dxfId="1" operator="equal">
      <formula>$AS$25</formula>
    </cfRule>
  </conditionalFormatting>
  <conditionalFormatting sqref="AR13">
    <cfRule type="cellIs" priority="1" dxfId="3" operator="greaterThanOrEqual">
      <formula>10</formula>
    </cfRule>
    <cfRule type="cellIs" priority="2" dxfId="2" operator="between">
      <formula>8</formula>
      <formula>9.5</formula>
    </cfRule>
    <cfRule type="cellIs" priority="3" dxfId="1" operator="between">
      <formula>6</formula>
      <formula>7.5</formula>
    </cfRule>
    <cfRule type="cellIs" priority="4" dxfId="0" operator="between">
      <formula>4</formula>
      <formula>5.5</formula>
    </cfRule>
  </conditionalFormatting>
  <dataValidations count="5">
    <dataValidation type="whole" allowBlank="1" showInputMessage="1" showErrorMessage="1" sqref="A1:C3">
      <formula1>1900</formula1>
      <formula2>9999</formula2>
    </dataValidation>
    <dataValidation type="list" allowBlank="1" showInputMessage="1" showErrorMessage="1" sqref="K7:L7 K9:L9 K11:L11 K13:L13">
      <formula1>$AS$5:$AU$5</formula1>
    </dataValidation>
    <dataValidation type="list" allowBlank="1" showInputMessage="1" showErrorMessage="1" sqref="A7:B7">
      <formula1>$AZ$4:$AZ$24</formula1>
    </dataValidation>
    <dataValidation type="list" allowBlank="1" showInputMessage="1" showErrorMessage="1" sqref="AH15:AN15 AH13:AN13 X17:AD17 D9:J9 D11:J11 D13:J13 N24:T24 D24:J24 D26:J26 D32:J32 D30:J30 D41:J41 D43:J43 D45:J45 D47:J47 D51:J51 N51:T51 D49:J49 N49:T49 N47:T47 N45:T45 N43:T43 X34:AD34 N30:T30 N28:T28 N26:T26 N13:T13 N11:T11 N9:T9 N7:T7 D15:J15 X9:AD9 X11:AD11 X13:AD13 X15:AC15 D7:J7 AH24:AN24 X24:AD24 X26:AD26 X32:AD32 N41:T41 X41:AD41 X43:AD43 X45:AD45 X47:AD47 AH47:AN47 AH45:AN45 AH43:AN43 AH41:AN41 X49:AD49 AH34:AN34 AH30:AN30 AH28:AN28 AH26:AN26 AH17:AN17 AH11:AN11 AH9:AN9 AH7:AN7 X7:AD7 X51:AD51 AH51:AN51 N17:T17 D28:J28 N34:T34 N32:T32 X28:AD28 X30:AD30 D17:J17 AH32:AN32 N15:T15 AH49:AN49">
      <formula1>$AS$5:$AX$5</formula1>
    </dataValidation>
    <dataValidation type="list" allowBlank="1" showInputMessage="1" showErrorMessage="1" sqref="A12:B12">
      <formula1>$AZ$4:$AZ$34</formula1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scale="50" r:id="rId2"/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C51E121-EAAA-4177-A3CE-5E771B2D0C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2012-11-14T17:27:41Z</dcterms:created>
  <dcterms:modified xsi:type="dcterms:W3CDTF">2016-02-11T17:50:42Z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